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5" yWindow="300" windowWidth="27615" windowHeight="12090"/>
  </bookViews>
  <sheets>
    <sheet name="приложение 4" sheetId="1" r:id="rId1"/>
    <sheet name="приложение 6" sheetId="2" r:id="rId2"/>
    <sheet name="ИП" sheetId="7" state="hidden" r:id="rId3"/>
    <sheet name="Лист1" sheetId="8" state="hidden" r:id="rId4"/>
  </sheets>
  <externalReferences>
    <externalReference r:id="rId5"/>
  </externalReferences>
  <definedNames>
    <definedName name="_xlnm._FilterDatabase" localSheetId="0" hidden="1">'приложение 4'!$A$9:$CJ$350</definedName>
    <definedName name="_xlnm.Print_Titles" localSheetId="0">'приложение 4'!$8:$10</definedName>
    <definedName name="_xlnm.Print_Titles" localSheetId="1">'приложение 6'!$8:$11</definedName>
    <definedName name="_xlnm.Print_Area" localSheetId="2">ИП!$A$2:$J$214</definedName>
    <definedName name="_xlnm.Print_Area" localSheetId="0">'приложение 4'!$A$1:$AG$731</definedName>
    <definedName name="_xlnm.Print_Area" localSheetId="1">'приложение 6'!$A$1:$M$54</definedName>
  </definedNames>
  <calcPr calcId="145621"/>
  <fileRecoveryPr repairLoad="1"/>
</workbook>
</file>

<file path=xl/calcChain.xml><?xml version="1.0" encoding="utf-8"?>
<calcChain xmlns="http://schemas.openxmlformats.org/spreadsheetml/2006/main">
  <c r="S506" i="1" l="1"/>
  <c r="S504" i="1"/>
  <c r="S515" i="1"/>
  <c r="S513" i="1"/>
  <c r="S231" i="1"/>
  <c r="K20" i="2" l="1"/>
  <c r="N20" i="2"/>
  <c r="N14" i="2"/>
  <c r="C20" i="2"/>
  <c r="S11" i="1" l="1"/>
  <c r="P662" i="1" l="1"/>
  <c r="P676" i="1"/>
  <c r="P668" i="1"/>
  <c r="P386" i="1"/>
  <c r="P487" i="1"/>
  <c r="P475" i="1"/>
  <c r="S509" i="1"/>
  <c r="S510" i="1"/>
  <c r="S511" i="1"/>
  <c r="S512" i="1"/>
  <c r="S514" i="1"/>
  <c r="S516" i="1"/>
  <c r="S517" i="1"/>
  <c r="AR41" i="1" l="1"/>
  <c r="AQ41" i="1"/>
  <c r="L20" i="2" l="1"/>
  <c r="M20" i="2"/>
  <c r="L21" i="2"/>
  <c r="M21" i="2"/>
  <c r="L22" i="2"/>
  <c r="M22" i="2"/>
  <c r="K22" i="2"/>
  <c r="R28" i="1"/>
  <c r="R29" i="1"/>
  <c r="Q504" i="1" l="1"/>
  <c r="R504" i="1"/>
  <c r="P504" i="1"/>
  <c r="Q505" i="1"/>
  <c r="R505" i="1"/>
  <c r="Q506" i="1"/>
  <c r="R506" i="1"/>
  <c r="P506" i="1"/>
  <c r="P505" i="1"/>
  <c r="S518" i="1"/>
  <c r="S508" i="1"/>
  <c r="R513" i="1"/>
  <c r="Q516" i="1"/>
  <c r="P516" i="1"/>
  <c r="O516" i="1"/>
  <c r="N516" i="1"/>
  <c r="M516" i="1"/>
  <c r="L516" i="1"/>
  <c r="K516" i="1"/>
  <c r="J516" i="1"/>
  <c r="I516" i="1"/>
  <c r="Q513" i="1"/>
  <c r="P513" i="1"/>
  <c r="O513" i="1"/>
  <c r="N513" i="1"/>
  <c r="M513" i="1"/>
  <c r="L513" i="1"/>
  <c r="K513" i="1"/>
  <c r="J513" i="1"/>
  <c r="I513" i="1"/>
  <c r="P697" i="1" l="1"/>
  <c r="S697" i="1" s="1"/>
  <c r="P696" i="1"/>
  <c r="P610" i="1" s="1"/>
  <c r="P687" i="1"/>
  <c r="S687" i="1" s="1"/>
  <c r="P689" i="1"/>
  <c r="S685" i="1"/>
  <c r="S684" i="1"/>
  <c r="P683" i="1"/>
  <c r="P669" i="1"/>
  <c r="S669" i="1" s="1"/>
  <c r="S696" i="1" l="1"/>
  <c r="S689" i="1"/>
  <c r="P609" i="1"/>
  <c r="S676" i="1"/>
  <c r="P606" i="1"/>
  <c r="S668" i="1"/>
  <c r="P605" i="1"/>
  <c r="S683" i="1"/>
  <c r="P608" i="1"/>
  <c r="R356" i="1"/>
  <c r="R357" i="1"/>
  <c r="R358" i="1"/>
  <c r="R360" i="1"/>
  <c r="R361" i="1"/>
  <c r="R362" i="1"/>
  <c r="R364" i="1"/>
  <c r="R365" i="1"/>
  <c r="R367" i="1"/>
  <c r="R368" i="1"/>
  <c r="R369" i="1"/>
  <c r="R370" i="1"/>
  <c r="R374" i="1"/>
  <c r="R378" i="1"/>
  <c r="R376" i="1" s="1"/>
  <c r="R379" i="1"/>
  <c r="R380" i="1"/>
  <c r="R382" i="1"/>
  <c r="R383" i="1"/>
  <c r="R386" i="1"/>
  <c r="R389" i="1"/>
  <c r="R392" i="1"/>
  <c r="R431" i="1"/>
  <c r="Q430" i="1"/>
  <c r="R430" i="1"/>
  <c r="R354" i="1" s="1"/>
  <c r="Q418" i="1"/>
  <c r="Q352" i="1" s="1"/>
  <c r="R418" i="1"/>
  <c r="R352" i="1" s="1"/>
  <c r="R351" i="1" l="1"/>
  <c r="R497" i="1"/>
  <c r="Q497" i="1"/>
  <c r="P497" i="1"/>
  <c r="R485" i="1"/>
  <c r="Q485" i="1"/>
  <c r="P485" i="1"/>
  <c r="R473" i="1"/>
  <c r="Q473" i="1"/>
  <c r="P473" i="1"/>
  <c r="R461" i="1"/>
  <c r="Q461" i="1"/>
  <c r="P461" i="1"/>
  <c r="R457" i="1"/>
  <c r="Q457" i="1"/>
  <c r="P457" i="1"/>
  <c r="R445" i="1"/>
  <c r="Q445" i="1"/>
  <c r="P445" i="1"/>
  <c r="R441" i="1"/>
  <c r="Q441" i="1"/>
  <c r="P441" i="1"/>
  <c r="R432" i="1"/>
  <c r="R429" i="1" s="1"/>
  <c r="Q432" i="1"/>
  <c r="P432" i="1"/>
  <c r="Q431" i="1"/>
  <c r="P431" i="1"/>
  <c r="P430" i="1"/>
  <c r="P354" i="1" s="1"/>
  <c r="Q425" i="1"/>
  <c r="P425" i="1"/>
  <c r="R421" i="1"/>
  <c r="R31" i="1" s="1"/>
  <c r="Q421" i="1"/>
  <c r="Q31" i="1" s="1"/>
  <c r="P421" i="1"/>
  <c r="P31" i="1" s="1"/>
  <c r="R420" i="1"/>
  <c r="Q420" i="1"/>
  <c r="P420" i="1"/>
  <c r="R419" i="1"/>
  <c r="Q419" i="1"/>
  <c r="P419" i="1"/>
  <c r="P418" i="1"/>
  <c r="P352" i="1" s="1"/>
  <c r="R414" i="1"/>
  <c r="R40" i="1" s="1"/>
  <c r="Q414" i="1"/>
  <c r="P414" i="1"/>
  <c r="P412" i="1"/>
  <c r="R411" i="1"/>
  <c r="R39" i="1" s="1"/>
  <c r="Q411" i="1"/>
  <c r="P411" i="1"/>
  <c r="P410" i="1"/>
  <c r="P409" i="1"/>
  <c r="R408" i="1"/>
  <c r="R38" i="1" s="1"/>
  <c r="Q408" i="1"/>
  <c r="P408" i="1"/>
  <c r="P407" i="1"/>
  <c r="P406" i="1"/>
  <c r="R405" i="1"/>
  <c r="R37" i="1" s="1"/>
  <c r="Q405" i="1"/>
  <c r="P405" i="1"/>
  <c r="R404" i="1"/>
  <c r="R36" i="1" s="1"/>
  <c r="Q404" i="1"/>
  <c r="P404" i="1"/>
  <c r="P403" i="1"/>
  <c r="P402" i="1"/>
  <c r="R401" i="1"/>
  <c r="R35" i="1" s="1"/>
  <c r="Q401" i="1"/>
  <c r="P401" i="1"/>
  <c r="R400" i="1"/>
  <c r="R34" i="1" s="1"/>
  <c r="Q400" i="1"/>
  <c r="P400" i="1"/>
  <c r="Q397" i="1"/>
  <c r="P397" i="1"/>
  <c r="R396" i="1"/>
  <c r="Q396" i="1"/>
  <c r="P396" i="1"/>
  <c r="Q392" i="1"/>
  <c r="P392" i="1"/>
  <c r="P391" i="1"/>
  <c r="P390" i="1"/>
  <c r="Q389" i="1"/>
  <c r="P389" i="1"/>
  <c r="P387" i="1"/>
  <c r="Q386" i="1"/>
  <c r="P384" i="1"/>
  <c r="Q383" i="1"/>
  <c r="P383" i="1"/>
  <c r="Q382" i="1"/>
  <c r="P382" i="1"/>
  <c r="Q380" i="1"/>
  <c r="P380" i="1"/>
  <c r="Q379" i="1"/>
  <c r="P379" i="1"/>
  <c r="Q378" i="1"/>
  <c r="P378" i="1"/>
  <c r="Q375" i="1"/>
  <c r="P375" i="1"/>
  <c r="Q374" i="1"/>
  <c r="P374" i="1"/>
  <c r="R373" i="1"/>
  <c r="Q370" i="1"/>
  <c r="P370" i="1"/>
  <c r="P40" i="1" s="1"/>
  <c r="Q369" i="1"/>
  <c r="P369" i="1"/>
  <c r="Q368" i="1"/>
  <c r="P368" i="1"/>
  <c r="Q367" i="1"/>
  <c r="P367" i="1"/>
  <c r="Q365" i="1"/>
  <c r="P365" i="1"/>
  <c r="Q364" i="1"/>
  <c r="Q38" i="1" s="1"/>
  <c r="P364" i="1"/>
  <c r="P38" i="1" s="1"/>
  <c r="Q362" i="1"/>
  <c r="P362" i="1"/>
  <c r="Q361" i="1"/>
  <c r="P361" i="1"/>
  <c r="Q360" i="1"/>
  <c r="P360" i="1"/>
  <c r="Q358" i="1"/>
  <c r="P358" i="1"/>
  <c r="Q357" i="1"/>
  <c r="P357" i="1"/>
  <c r="P35" i="1" s="1"/>
  <c r="Q356" i="1"/>
  <c r="P356" i="1"/>
  <c r="Q354" i="1"/>
  <c r="Q351" i="1" s="1"/>
  <c r="Q353" i="1"/>
  <c r="P353" i="1"/>
  <c r="O493" i="1"/>
  <c r="O489" i="1"/>
  <c r="O481" i="1"/>
  <c r="O477" i="1"/>
  <c r="N493" i="1"/>
  <c r="M493" i="1"/>
  <c r="L493" i="1"/>
  <c r="K493" i="1"/>
  <c r="N489" i="1"/>
  <c r="M489" i="1"/>
  <c r="L489" i="1"/>
  <c r="K489" i="1"/>
  <c r="N481" i="1"/>
  <c r="M481" i="1"/>
  <c r="L481" i="1"/>
  <c r="K481" i="1"/>
  <c r="N477" i="1"/>
  <c r="M477" i="1"/>
  <c r="L477" i="1"/>
  <c r="K477" i="1"/>
  <c r="N469" i="1"/>
  <c r="M469" i="1"/>
  <c r="L469" i="1"/>
  <c r="K469" i="1"/>
  <c r="N465" i="1"/>
  <c r="M465" i="1"/>
  <c r="L465" i="1"/>
  <c r="K465" i="1"/>
  <c r="N453" i="1"/>
  <c r="M453" i="1"/>
  <c r="L453" i="1"/>
  <c r="K453" i="1"/>
  <c r="N449" i="1"/>
  <c r="M449" i="1"/>
  <c r="L449" i="1"/>
  <c r="K449" i="1"/>
  <c r="N437" i="1"/>
  <c r="M437" i="1"/>
  <c r="L437" i="1"/>
  <c r="K437" i="1"/>
  <c r="N436" i="1"/>
  <c r="M436" i="1"/>
  <c r="L436" i="1"/>
  <c r="K436" i="1"/>
  <c r="N435" i="1"/>
  <c r="M435" i="1"/>
  <c r="L435" i="1"/>
  <c r="K435" i="1"/>
  <c r="N434" i="1"/>
  <c r="M434" i="1"/>
  <c r="L434" i="1"/>
  <c r="K434" i="1"/>
  <c r="N416" i="1"/>
  <c r="M416" i="1"/>
  <c r="L416" i="1"/>
  <c r="K416" i="1"/>
  <c r="N415" i="1"/>
  <c r="M415" i="1"/>
  <c r="L415" i="1"/>
  <c r="K415" i="1"/>
  <c r="N413" i="1"/>
  <c r="M413" i="1"/>
  <c r="L413" i="1"/>
  <c r="K413" i="1"/>
  <c r="N412" i="1"/>
  <c r="M412" i="1"/>
  <c r="L412" i="1"/>
  <c r="K412" i="1"/>
  <c r="N410" i="1"/>
  <c r="M410" i="1"/>
  <c r="L410" i="1"/>
  <c r="K410" i="1"/>
  <c r="N409" i="1"/>
  <c r="M409" i="1"/>
  <c r="L409" i="1"/>
  <c r="K409" i="1"/>
  <c r="N407" i="1"/>
  <c r="M407" i="1"/>
  <c r="L407" i="1"/>
  <c r="K407" i="1"/>
  <c r="N406" i="1"/>
  <c r="M406" i="1"/>
  <c r="L406" i="1"/>
  <c r="K406" i="1"/>
  <c r="N403" i="1"/>
  <c r="M403" i="1"/>
  <c r="L403" i="1"/>
  <c r="K403" i="1"/>
  <c r="N402" i="1"/>
  <c r="M402" i="1"/>
  <c r="L402" i="1"/>
  <c r="K402" i="1"/>
  <c r="N394" i="1"/>
  <c r="M394" i="1"/>
  <c r="L394" i="1"/>
  <c r="K394" i="1"/>
  <c r="N393" i="1"/>
  <c r="M393" i="1"/>
  <c r="L393" i="1"/>
  <c r="K393" i="1"/>
  <c r="N391" i="1"/>
  <c r="M391" i="1"/>
  <c r="L391" i="1"/>
  <c r="K391" i="1"/>
  <c r="N390" i="1"/>
  <c r="M390" i="1"/>
  <c r="L390" i="1"/>
  <c r="K390" i="1"/>
  <c r="N388" i="1"/>
  <c r="M388" i="1"/>
  <c r="L388" i="1"/>
  <c r="K388" i="1"/>
  <c r="N387" i="1"/>
  <c r="M387" i="1"/>
  <c r="L387" i="1"/>
  <c r="K387" i="1"/>
  <c r="N385" i="1"/>
  <c r="M385" i="1"/>
  <c r="L385" i="1"/>
  <c r="K385" i="1"/>
  <c r="N384" i="1"/>
  <c r="M384" i="1"/>
  <c r="L384" i="1"/>
  <c r="K384" i="1"/>
  <c r="N381" i="1"/>
  <c r="M381" i="1"/>
  <c r="L381" i="1"/>
  <c r="K381" i="1"/>
  <c r="N380" i="1"/>
  <c r="M380" i="1"/>
  <c r="L380" i="1"/>
  <c r="K380" i="1"/>
  <c r="N372" i="1"/>
  <c r="M372" i="1"/>
  <c r="L372" i="1"/>
  <c r="K372" i="1"/>
  <c r="N371" i="1"/>
  <c r="M371" i="1"/>
  <c r="L371" i="1"/>
  <c r="K371" i="1"/>
  <c r="N369" i="1"/>
  <c r="M369" i="1"/>
  <c r="L369" i="1"/>
  <c r="K369" i="1"/>
  <c r="N368" i="1"/>
  <c r="M368" i="1"/>
  <c r="L368" i="1"/>
  <c r="K368" i="1"/>
  <c r="N366" i="1"/>
  <c r="M366" i="1"/>
  <c r="L366" i="1"/>
  <c r="K366" i="1"/>
  <c r="N365" i="1"/>
  <c r="M365" i="1"/>
  <c r="L365" i="1"/>
  <c r="K365" i="1"/>
  <c r="N363" i="1"/>
  <c r="M363" i="1"/>
  <c r="L363" i="1"/>
  <c r="K363" i="1"/>
  <c r="N362" i="1"/>
  <c r="M362" i="1"/>
  <c r="L362" i="1"/>
  <c r="K362" i="1"/>
  <c r="N355" i="1"/>
  <c r="M355" i="1"/>
  <c r="L355" i="1"/>
  <c r="K355" i="1"/>
  <c r="N354" i="1"/>
  <c r="M354" i="1"/>
  <c r="L354" i="1"/>
  <c r="K354" i="1"/>
  <c r="AO500" i="1"/>
  <c r="S500" i="1"/>
  <c r="AO499" i="1"/>
  <c r="S499" i="1"/>
  <c r="AO498" i="1"/>
  <c r="S498" i="1"/>
  <c r="AO497" i="1"/>
  <c r="AG497" i="1"/>
  <c r="AJ497" i="1" s="1"/>
  <c r="I497" i="1"/>
  <c r="AM497" i="1" s="1"/>
  <c r="AV496" i="1"/>
  <c r="AI496" i="1"/>
  <c r="AH496" i="1"/>
  <c r="AG496" i="1"/>
  <c r="S496" i="1"/>
  <c r="AV495" i="1"/>
  <c r="AI495" i="1"/>
  <c r="AH495" i="1"/>
  <c r="S495" i="1"/>
  <c r="AI494" i="1"/>
  <c r="AH494" i="1"/>
  <c r="J493" i="1"/>
  <c r="I493" i="1"/>
  <c r="S492" i="1"/>
  <c r="AG491" i="1"/>
  <c r="S491" i="1"/>
  <c r="AG490" i="1"/>
  <c r="S490" i="1"/>
  <c r="J489" i="1"/>
  <c r="I489" i="1"/>
  <c r="I488" i="1"/>
  <c r="I487" i="1"/>
  <c r="S487" i="1" s="1"/>
  <c r="I486" i="1"/>
  <c r="S486" i="1" s="1"/>
  <c r="S484" i="1"/>
  <c r="S483" i="1"/>
  <c r="S482" i="1"/>
  <c r="J481" i="1"/>
  <c r="I481" i="1"/>
  <c r="S480" i="1"/>
  <c r="S479" i="1"/>
  <c r="S478" i="1"/>
  <c r="J477" i="1"/>
  <c r="I477" i="1"/>
  <c r="I476" i="1"/>
  <c r="S476" i="1" s="1"/>
  <c r="I475" i="1"/>
  <c r="S475" i="1" s="1"/>
  <c r="I474" i="1"/>
  <c r="S474" i="1" s="1"/>
  <c r="AV472" i="1"/>
  <c r="AI472" i="1"/>
  <c r="S472" i="1"/>
  <c r="AV471" i="1"/>
  <c r="AI471" i="1"/>
  <c r="S471" i="1"/>
  <c r="S470" i="1"/>
  <c r="J469" i="1"/>
  <c r="I469" i="1"/>
  <c r="S468" i="1"/>
  <c r="S467" i="1"/>
  <c r="S466" i="1"/>
  <c r="J465" i="1"/>
  <c r="I465" i="1"/>
  <c r="I464" i="1"/>
  <c r="CA413" i="1" s="1"/>
  <c r="I463" i="1"/>
  <c r="S463" i="1" s="1"/>
  <c r="I462" i="1"/>
  <c r="S460" i="1"/>
  <c r="S459" i="1"/>
  <c r="AI458" i="1"/>
  <c r="S458" i="1"/>
  <c r="I457" i="1"/>
  <c r="AI456" i="1"/>
  <c r="S456" i="1"/>
  <c r="AI455" i="1"/>
  <c r="S455" i="1"/>
  <c r="S454" i="1"/>
  <c r="J453" i="1"/>
  <c r="I453" i="1"/>
  <c r="S452" i="1"/>
  <c r="S451" i="1"/>
  <c r="S450" i="1"/>
  <c r="J449" i="1"/>
  <c r="I449" i="1"/>
  <c r="S449" i="1" s="1"/>
  <c r="I448" i="1"/>
  <c r="S448" i="1" s="1"/>
  <c r="I447" i="1"/>
  <c r="S447" i="1" s="1"/>
  <c r="I446" i="1"/>
  <c r="S446" i="1" s="1"/>
  <c r="AV444" i="1"/>
  <c r="AO444" i="1"/>
  <c r="S444" i="1"/>
  <c r="AV443" i="1"/>
  <c r="AO443" i="1"/>
  <c r="S443" i="1"/>
  <c r="AO442" i="1"/>
  <c r="S442" i="1"/>
  <c r="AO441" i="1"/>
  <c r="O441" i="1"/>
  <c r="I441" i="1"/>
  <c r="S440" i="1"/>
  <c r="S439" i="1"/>
  <c r="S438" i="1"/>
  <c r="J437" i="1"/>
  <c r="I437" i="1"/>
  <c r="J436" i="1"/>
  <c r="I436" i="1"/>
  <c r="J435" i="1"/>
  <c r="I435" i="1"/>
  <c r="J434" i="1"/>
  <c r="I434" i="1"/>
  <c r="CA433" i="1"/>
  <c r="AG433" i="1"/>
  <c r="AJ433" i="1" s="1"/>
  <c r="O432" i="1"/>
  <c r="AP432" i="1" s="1"/>
  <c r="O431" i="1"/>
  <c r="AP431" i="1" s="1"/>
  <c r="AO430" i="1"/>
  <c r="O430" i="1"/>
  <c r="AO429" i="1"/>
  <c r="S428" i="1"/>
  <c r="S427" i="1"/>
  <c r="S426" i="1"/>
  <c r="S424" i="1"/>
  <c r="O419" i="1"/>
  <c r="O420" i="1"/>
  <c r="S420" i="1" s="1"/>
  <c r="AO419" i="1"/>
  <c r="AO418" i="1"/>
  <c r="O418" i="1"/>
  <c r="AO417" i="1"/>
  <c r="AV416" i="1"/>
  <c r="J416" i="1"/>
  <c r="S416" i="1" s="1"/>
  <c r="J415" i="1"/>
  <c r="S415" i="1" s="1"/>
  <c r="O414" i="1"/>
  <c r="S414" i="1" s="1"/>
  <c r="CB413" i="1"/>
  <c r="AV413" i="1"/>
  <c r="J413" i="1"/>
  <c r="CB412" i="1"/>
  <c r="O412" i="1"/>
  <c r="J412" i="1"/>
  <c r="O411" i="1"/>
  <c r="I411" i="1"/>
  <c r="O410" i="1"/>
  <c r="J410" i="1"/>
  <c r="O409" i="1"/>
  <c r="J409" i="1"/>
  <c r="O408" i="1"/>
  <c r="I408" i="1"/>
  <c r="O407" i="1"/>
  <c r="J407" i="1"/>
  <c r="O406" i="1"/>
  <c r="J406" i="1"/>
  <c r="O405" i="1"/>
  <c r="I405" i="1"/>
  <c r="O404" i="1"/>
  <c r="O403" i="1"/>
  <c r="J403" i="1"/>
  <c r="O402" i="1"/>
  <c r="J402" i="1"/>
  <c r="O401" i="1"/>
  <c r="I401" i="1"/>
  <c r="O400" i="1"/>
  <c r="S400" i="1" s="1"/>
  <c r="I399" i="1"/>
  <c r="S399" i="1" s="1"/>
  <c r="O397" i="1"/>
  <c r="O396" i="1"/>
  <c r="I395" i="1"/>
  <c r="AV394" i="1"/>
  <c r="O394" i="1"/>
  <c r="J394" i="1"/>
  <c r="S394" i="1" s="1"/>
  <c r="O393" i="1"/>
  <c r="J393" i="1"/>
  <c r="S393" i="1" s="1"/>
  <c r="O392" i="1"/>
  <c r="I392" i="1"/>
  <c r="CB391" i="1"/>
  <c r="CA391" i="1"/>
  <c r="AV391" i="1"/>
  <c r="O391" i="1"/>
  <c r="J391" i="1"/>
  <c r="CB390" i="1"/>
  <c r="O390" i="1"/>
  <c r="J390" i="1"/>
  <c r="O389" i="1"/>
  <c r="I389" i="1"/>
  <c r="J388" i="1"/>
  <c r="O387" i="1"/>
  <c r="J387" i="1"/>
  <c r="I387" i="1"/>
  <c r="O386" i="1"/>
  <c r="J385" i="1"/>
  <c r="O384" i="1"/>
  <c r="J384" i="1"/>
  <c r="O383" i="1"/>
  <c r="I383" i="1"/>
  <c r="O382" i="1"/>
  <c r="J381" i="1"/>
  <c r="I381" i="1"/>
  <c r="S381" i="1" s="1"/>
  <c r="O380" i="1"/>
  <c r="J380" i="1"/>
  <c r="I380" i="1"/>
  <c r="O379" i="1"/>
  <c r="S379" i="1" s="1"/>
  <c r="O378" i="1"/>
  <c r="O375" i="1"/>
  <c r="I373" i="1"/>
  <c r="AV372" i="1"/>
  <c r="O372" i="1"/>
  <c r="J372" i="1"/>
  <c r="S372" i="1" s="1"/>
  <c r="O371" i="1"/>
  <c r="J371" i="1"/>
  <c r="S371" i="1" s="1"/>
  <c r="O370" i="1"/>
  <c r="I370" i="1"/>
  <c r="O369" i="1"/>
  <c r="J369" i="1"/>
  <c r="I369" i="1"/>
  <c r="I367" i="1" s="1"/>
  <c r="O368" i="1"/>
  <c r="J368" i="1"/>
  <c r="O367" i="1"/>
  <c r="J366" i="1"/>
  <c r="I366" i="1"/>
  <c r="S366" i="1" s="1"/>
  <c r="O365" i="1"/>
  <c r="J365" i="1"/>
  <c r="O364" i="1"/>
  <c r="J363" i="1"/>
  <c r="I363" i="1"/>
  <c r="S363" i="1" s="1"/>
  <c r="O362" i="1"/>
  <c r="J362" i="1"/>
  <c r="I362" i="1"/>
  <c r="O361" i="1"/>
  <c r="S361" i="1" s="1"/>
  <c r="O360" i="1"/>
  <c r="I360" i="1"/>
  <c r="I359" i="1"/>
  <c r="S359" i="1" s="1"/>
  <c r="O358" i="1"/>
  <c r="I358" i="1"/>
  <c r="O357" i="1"/>
  <c r="O356" i="1"/>
  <c r="J354" i="1"/>
  <c r="I356" i="1"/>
  <c r="J355" i="1"/>
  <c r="I355" i="1"/>
  <c r="O353" i="1"/>
  <c r="O352" i="1"/>
  <c r="AO351" i="1"/>
  <c r="I351" i="1"/>
  <c r="S367" i="1" l="1"/>
  <c r="P36" i="1"/>
  <c r="P398" i="1"/>
  <c r="Q40" i="1"/>
  <c r="P39" i="1"/>
  <c r="R33" i="1"/>
  <c r="R417" i="1"/>
  <c r="S368" i="1"/>
  <c r="Q35" i="1"/>
  <c r="AV441" i="1"/>
  <c r="S441" i="1"/>
  <c r="S425" i="1"/>
  <c r="S387" i="1"/>
  <c r="P351" i="1"/>
  <c r="S352" i="1"/>
  <c r="S405" i="1"/>
  <c r="Q36" i="1"/>
  <c r="S401" i="1"/>
  <c r="S477" i="1"/>
  <c r="AH429" i="1"/>
  <c r="P34" i="1"/>
  <c r="P37" i="1"/>
  <c r="Q34" i="1"/>
  <c r="Q37" i="1"/>
  <c r="Q39" i="1"/>
  <c r="P376" i="1"/>
  <c r="P373" i="1" s="1"/>
  <c r="K21" i="2" s="1"/>
  <c r="K18" i="2" s="1"/>
  <c r="S421" i="1"/>
  <c r="I433" i="1"/>
  <c r="AM433" i="1" s="1"/>
  <c r="I431" i="1"/>
  <c r="CB369" i="1" s="1"/>
  <c r="I461" i="1"/>
  <c r="S461" i="1" s="1"/>
  <c r="S462" i="1"/>
  <c r="S388" i="1"/>
  <c r="S397" i="1"/>
  <c r="AI429" i="1"/>
  <c r="S413" i="1"/>
  <c r="I432" i="1"/>
  <c r="CA369" i="1" s="1"/>
  <c r="Q376" i="1"/>
  <c r="Q373" i="1" s="1"/>
  <c r="S392" i="1"/>
  <c r="I357" i="1"/>
  <c r="S364" i="1"/>
  <c r="I377" i="1"/>
  <c r="S377" i="1" s="1"/>
  <c r="CB393" i="1"/>
  <c r="R398" i="1"/>
  <c r="R395" i="1" s="1"/>
  <c r="R41" i="1" s="1"/>
  <c r="Q398" i="1"/>
  <c r="Q395" i="1" s="1"/>
  <c r="Q41" i="1" s="1"/>
  <c r="S383" i="1"/>
  <c r="S353" i="1"/>
  <c r="O429" i="1"/>
  <c r="AP429" i="1" s="1"/>
  <c r="S437" i="1"/>
  <c r="P417" i="1"/>
  <c r="Q429" i="1"/>
  <c r="S358" i="1"/>
  <c r="S412" i="1"/>
  <c r="AV469" i="1"/>
  <c r="AG429" i="1"/>
  <c r="S360" i="1"/>
  <c r="S356" i="1"/>
  <c r="K433" i="1"/>
  <c r="I386" i="1"/>
  <c r="S386" i="1" s="1"/>
  <c r="AV453" i="1"/>
  <c r="AV493" i="1"/>
  <c r="L433" i="1"/>
  <c r="S370" i="1"/>
  <c r="S390" i="1"/>
  <c r="M433" i="1"/>
  <c r="CB415" i="1"/>
  <c r="N433" i="1"/>
  <c r="I485" i="1"/>
  <c r="S382" i="1"/>
  <c r="S389" i="1"/>
  <c r="Q417" i="1"/>
  <c r="P395" i="1"/>
  <c r="S375" i="1"/>
  <c r="P429" i="1"/>
  <c r="S365" i="1"/>
  <c r="S404" i="1"/>
  <c r="S408" i="1"/>
  <c r="S418" i="1"/>
  <c r="S357" i="1"/>
  <c r="S380" i="1"/>
  <c r="S384" i="1"/>
  <c r="S396" i="1"/>
  <c r="O417" i="1"/>
  <c r="S362" i="1"/>
  <c r="O398" i="1"/>
  <c r="O376" i="1"/>
  <c r="O354" i="1"/>
  <c r="O351" i="1" s="1"/>
  <c r="S481" i="1"/>
  <c r="S385" i="1"/>
  <c r="S465" i="1"/>
  <c r="S436" i="1"/>
  <c r="S355" i="1"/>
  <c r="S391" i="1"/>
  <c r="S435" i="1"/>
  <c r="J433" i="1"/>
  <c r="S419" i="1"/>
  <c r="S489" i="1"/>
  <c r="S434" i="1"/>
  <c r="S494" i="1"/>
  <c r="S369" i="1"/>
  <c r="O374" i="1"/>
  <c r="S422" i="1"/>
  <c r="S453" i="1"/>
  <c r="S464" i="1"/>
  <c r="S423" i="1"/>
  <c r="I445" i="1"/>
  <c r="S445" i="1" s="1"/>
  <c r="I473" i="1"/>
  <c r="S473" i="1" s="1"/>
  <c r="I430" i="1"/>
  <c r="CB368" i="1" s="1"/>
  <c r="S493" i="1"/>
  <c r="S497" i="1"/>
  <c r="S457" i="1"/>
  <c r="AP430" i="1"/>
  <c r="S378" i="1"/>
  <c r="S469" i="1"/>
  <c r="Q33" i="1" l="1"/>
  <c r="P41" i="1"/>
  <c r="AP41" i="1" s="1"/>
  <c r="P22" i="1"/>
  <c r="P33" i="1"/>
  <c r="S431" i="1"/>
  <c r="CB371" i="1"/>
  <c r="S376" i="1"/>
  <c r="S354" i="1"/>
  <c r="AJ429" i="1"/>
  <c r="S433" i="1"/>
  <c r="S351" i="1"/>
  <c r="O395" i="1"/>
  <c r="S398" i="1"/>
  <c r="S417" i="1"/>
  <c r="S430" i="1"/>
  <c r="I429" i="1"/>
  <c r="S432" i="1"/>
  <c r="S488" i="1"/>
  <c r="S485" i="1"/>
  <c r="O373" i="1"/>
  <c r="S373" i="1" s="1"/>
  <c r="S374" i="1"/>
  <c r="K262" i="1"/>
  <c r="K260" i="1"/>
  <c r="J260" i="1"/>
  <c r="N260" i="1"/>
  <c r="S411" i="1" l="1"/>
  <c r="AM429" i="1"/>
  <c r="S429" i="1"/>
  <c r="AV429" i="1" s="1"/>
  <c r="AV369" i="1" s="1"/>
  <c r="O247" i="1"/>
  <c r="S671" i="1"/>
  <c r="S672" i="1"/>
  <c r="S701" i="1"/>
  <c r="S395" i="1" l="1"/>
  <c r="C23" i="2"/>
  <c r="R217" i="1" l="1"/>
  <c r="S269" i="1"/>
  <c r="S276" i="1"/>
  <c r="S277" i="1"/>
  <c r="S278" i="1"/>
  <c r="S288" i="1"/>
  <c r="S289" i="1"/>
  <c r="S290" i="1"/>
  <c r="S300" i="1"/>
  <c r="S301" i="1"/>
  <c r="S302" i="1"/>
  <c r="S316" i="1"/>
  <c r="S317" i="1"/>
  <c r="S318" i="1"/>
  <c r="S328" i="1"/>
  <c r="S329" i="1"/>
  <c r="S330" i="1"/>
  <c r="S502" i="1"/>
  <c r="S503" i="1"/>
  <c r="R282" i="1" l="1"/>
  <c r="R279" i="1" s="1"/>
  <c r="R662" i="1" l="1"/>
  <c r="R661" i="1" s="1"/>
  <c r="R605" i="1"/>
  <c r="R606" i="1"/>
  <c r="R607" i="1"/>
  <c r="R608" i="1"/>
  <c r="R609" i="1"/>
  <c r="R610" i="1"/>
  <c r="R611" i="1"/>
  <c r="R603" i="1"/>
  <c r="R600" i="1"/>
  <c r="R13" i="1" s="1"/>
  <c r="M50" i="2"/>
  <c r="M48" i="2" s="1"/>
  <c r="M38" i="2"/>
  <c r="M36" i="2" s="1"/>
  <c r="M35" i="2"/>
  <c r="R604" i="1" l="1"/>
  <c r="M32" i="2" s="1"/>
  <c r="M30" i="2" s="1"/>
  <c r="R598" i="1" l="1"/>
  <c r="R653" i="1" l="1"/>
  <c r="R652" i="1" s="1"/>
  <c r="R706" i="1"/>
  <c r="R702" i="1" s="1"/>
  <c r="M44" i="2" s="1"/>
  <c r="M42" i="2" s="1"/>
  <c r="S596" i="1"/>
  <c r="S597" i="1"/>
  <c r="S612" i="1"/>
  <c r="S613" i="1"/>
  <c r="S617" i="1"/>
  <c r="S619" i="1"/>
  <c r="S620" i="1"/>
  <c r="S623" i="1"/>
  <c r="S625" i="1"/>
  <c r="S630" i="1"/>
  <c r="S631" i="1"/>
  <c r="S632" i="1"/>
  <c r="S634" i="1"/>
  <c r="S635" i="1"/>
  <c r="S637" i="1"/>
  <c r="S638" i="1"/>
  <c r="S639" i="1"/>
  <c r="S641" i="1"/>
  <c r="S642" i="1"/>
  <c r="S643" i="1"/>
  <c r="S645" i="1"/>
  <c r="S646" i="1"/>
  <c r="S648" i="1"/>
  <c r="S649" i="1"/>
  <c r="S651" i="1"/>
  <c r="S663" i="1"/>
  <c r="S664" i="1"/>
  <c r="S665" i="1"/>
  <c r="S674" i="1"/>
  <c r="S677" i="1"/>
  <c r="S681" i="1"/>
  <c r="S682" i="1"/>
  <c r="S686" i="1"/>
  <c r="S690" i="1"/>
  <c r="S691" i="1"/>
  <c r="S698" i="1"/>
  <c r="S700" i="1"/>
  <c r="S707" i="1"/>
  <c r="S709" i="1"/>
  <c r="S712" i="1"/>
  <c r="S713" i="1"/>
  <c r="S714" i="1"/>
  <c r="S716" i="1"/>
  <c r="S719" i="1"/>
  <c r="S721" i="1"/>
  <c r="S725" i="1"/>
  <c r="S727" i="1"/>
  <c r="S728" i="1"/>
  <c r="S729" i="1"/>
  <c r="S730" i="1"/>
  <c r="S731" i="1"/>
  <c r="S566" i="1"/>
  <c r="S568" i="1"/>
  <c r="R501" i="1"/>
  <c r="R307" i="1"/>
  <c r="R311" i="1"/>
  <c r="R323" i="1"/>
  <c r="R335" i="1"/>
  <c r="R347" i="1"/>
  <c r="R295" i="1"/>
  <c r="R291" i="1"/>
  <c r="R271" i="1"/>
  <c r="R32" i="1" l="1"/>
  <c r="R19" i="1" s="1"/>
  <c r="R265" i="1"/>
  <c r="R266" i="1"/>
  <c r="R246" i="1"/>
  <c r="R247" i="1"/>
  <c r="R250" i="1"/>
  <c r="R251" i="1"/>
  <c r="R254" i="1"/>
  <c r="R257" i="1"/>
  <c r="R260" i="1"/>
  <c r="R242" i="1"/>
  <c r="R244" i="1" l="1"/>
  <c r="R240" i="1" s="1"/>
  <c r="R263" i="1"/>
  <c r="S145" i="1"/>
  <c r="S144" i="1"/>
  <c r="S143" i="1"/>
  <c r="S129" i="1"/>
  <c r="S127" i="1"/>
  <c r="S113" i="1"/>
  <c r="S112" i="1"/>
  <c r="S111" i="1"/>
  <c r="R22" i="1"/>
  <c r="R25" i="1"/>
  <c r="R26" i="1"/>
  <c r="R18" i="1"/>
  <c r="M18" i="2" l="1"/>
  <c r="R27" i="1"/>
  <c r="R24" i="1"/>
  <c r="R23" i="1"/>
  <c r="R21" i="1" l="1"/>
  <c r="R11" i="1" s="1"/>
  <c r="O718" i="1"/>
  <c r="S718" i="1" s="1"/>
  <c r="O688" i="1"/>
  <c r="S688" i="1" s="1"/>
  <c r="AO11" i="1" l="1"/>
  <c r="AP11" i="1"/>
  <c r="O680" i="1"/>
  <c r="S680" i="1" s="1"/>
  <c r="O675" i="1" l="1"/>
  <c r="S675" i="1" s="1"/>
  <c r="O667" i="1"/>
  <c r="S667" i="1" s="1"/>
  <c r="O708" i="1" l="1"/>
  <c r="S708" i="1" s="1"/>
  <c r="O710" i="1"/>
  <c r="O720" i="1"/>
  <c r="O695" i="1" l="1"/>
  <c r="S695" i="1" l="1"/>
  <c r="O626" i="1"/>
  <c r="S626" i="1" s="1"/>
  <c r="O624" i="1"/>
  <c r="S624" i="1" s="1"/>
  <c r="O621" i="1"/>
  <c r="S621" i="1" s="1"/>
  <c r="P271" i="1"/>
  <c r="Q271" i="1"/>
  <c r="P507" i="1"/>
  <c r="Q507" i="1"/>
  <c r="P510" i="1"/>
  <c r="Q510" i="1"/>
  <c r="O510" i="1"/>
  <c r="O506" i="1"/>
  <c r="O505" i="1"/>
  <c r="O507" i="1"/>
  <c r="I510" i="1"/>
  <c r="J510" i="1"/>
  <c r="K510" i="1"/>
  <c r="L510" i="1"/>
  <c r="M510" i="1"/>
  <c r="N510" i="1"/>
  <c r="L507" i="1"/>
  <c r="M507" i="1"/>
  <c r="N507" i="1"/>
  <c r="K507" i="1"/>
  <c r="J507" i="1"/>
  <c r="I507" i="1"/>
  <c r="S507" i="1" l="1"/>
  <c r="J504" i="1"/>
  <c r="O504" i="1"/>
  <c r="S505" i="1"/>
  <c r="N504" i="1"/>
  <c r="K504" i="1"/>
  <c r="I504" i="1"/>
  <c r="L504" i="1"/>
  <c r="M504" i="1"/>
  <c r="O622" i="1" l="1"/>
  <c r="N18" i="2" l="1"/>
  <c r="O326" i="1"/>
  <c r="O314" i="1"/>
  <c r="O337" i="1"/>
  <c r="O293" i="1"/>
  <c r="O291" i="1" s="1"/>
  <c r="P266" i="1" l="1"/>
  <c r="N16" i="2" l="1"/>
  <c r="N15" i="2"/>
  <c r="N12" i="2"/>
  <c r="AO347" i="1"/>
  <c r="AO348" i="1"/>
  <c r="AO349" i="1"/>
  <c r="AO350" i="1"/>
  <c r="AO291" i="1"/>
  <c r="AO292" i="1"/>
  <c r="AO293" i="1"/>
  <c r="AO294" i="1"/>
  <c r="O272" i="1" l="1"/>
  <c r="S272" i="1" s="1"/>
  <c r="O273" i="1"/>
  <c r="S273" i="1" s="1"/>
  <c r="O274" i="1"/>
  <c r="S274" i="1" s="1"/>
  <c r="O196" i="1" l="1"/>
  <c r="S196" i="1" s="1"/>
  <c r="O266" i="1"/>
  <c r="O608" i="1" l="1"/>
  <c r="O662" i="1"/>
  <c r="O661" i="1" s="1"/>
  <c r="O610" i="1" l="1"/>
  <c r="O609" i="1"/>
  <c r="O606" i="1"/>
  <c r="O605" i="1"/>
  <c r="Q662" i="1"/>
  <c r="Q281" i="1" l="1"/>
  <c r="J348" i="1" l="1"/>
  <c r="J337" i="1"/>
  <c r="J338" i="1"/>
  <c r="J312" i="1"/>
  <c r="J313" i="1"/>
  <c r="J314" i="1"/>
  <c r="J292" i="1"/>
  <c r="J293" i="1"/>
  <c r="I128" i="1"/>
  <c r="S128" i="1" s="1"/>
  <c r="I147" i="1"/>
  <c r="I171" i="1"/>
  <c r="I185" i="1"/>
  <c r="I109" i="1"/>
  <c r="K293" i="1" l="1"/>
  <c r="S293" i="1" s="1"/>
  <c r="K294" i="1"/>
  <c r="S294" i="1" s="1"/>
  <c r="K618" i="1" l="1"/>
  <c r="I576" i="1" l="1"/>
  <c r="J558" i="1"/>
  <c r="S673" i="1" l="1"/>
  <c r="N23" i="2" l="1"/>
  <c r="N17" i="2"/>
  <c r="D17" i="2"/>
  <c r="C56" i="2" l="1"/>
  <c r="N42" i="2"/>
  <c r="N32" i="2"/>
  <c r="N22" i="2"/>
  <c r="N21" i="2"/>
  <c r="L50" i="2" l="1"/>
  <c r="L48" i="2" s="1"/>
  <c r="L38" i="2"/>
  <c r="L36" i="2" s="1"/>
  <c r="L35" i="2"/>
  <c r="L17" i="2" s="1"/>
  <c r="Q661" i="1" l="1"/>
  <c r="Q703" i="1"/>
  <c r="Q705" i="1"/>
  <c r="Q706" i="1"/>
  <c r="O722" i="1"/>
  <c r="Q594" i="1"/>
  <c r="Q592" i="1" s="1"/>
  <c r="Q590" i="1" s="1"/>
  <c r="Q588" i="1" s="1"/>
  <c r="Q595" i="1"/>
  <c r="Q593" i="1" s="1"/>
  <c r="Q591" i="1" s="1"/>
  <c r="Q589" i="1" s="1"/>
  <c r="Q586" i="1" s="1"/>
  <c r="Q579" i="1"/>
  <c r="Q577" i="1" s="1"/>
  <c r="Q580" i="1"/>
  <c r="Q578" i="1" s="1"/>
  <c r="Q576" i="1" s="1"/>
  <c r="Q573" i="1" s="1"/>
  <c r="Q569" i="1"/>
  <c r="M28" i="2" s="1"/>
  <c r="M16" i="2" s="1"/>
  <c r="Q555" i="1"/>
  <c r="Q556" i="1"/>
  <c r="Q558" i="1"/>
  <c r="Q534" i="1"/>
  <c r="Q533" i="1" s="1"/>
  <c r="Q527" i="1" s="1"/>
  <c r="Q532" i="1"/>
  <c r="Q530" i="1"/>
  <c r="Q529" i="1"/>
  <c r="Q528" i="1"/>
  <c r="Q519" i="1"/>
  <c r="Q275" i="1"/>
  <c r="Q295" i="1"/>
  <c r="Q307" i="1"/>
  <c r="Q311" i="1"/>
  <c r="Q323" i="1"/>
  <c r="Q335" i="1"/>
  <c r="Q347" i="1"/>
  <c r="N243" i="1"/>
  <c r="O242" i="1"/>
  <c r="P197" i="1"/>
  <c r="Q197" i="1"/>
  <c r="P219" i="1"/>
  <c r="Q219" i="1"/>
  <c r="O220" i="1"/>
  <c r="P220" i="1"/>
  <c r="Q220" i="1"/>
  <c r="Q223" i="1"/>
  <c r="Q224" i="1"/>
  <c r="Q225" i="1"/>
  <c r="Q227" i="1"/>
  <c r="Q228" i="1"/>
  <c r="Q231" i="1"/>
  <c r="Q234" i="1"/>
  <c r="Q237" i="1"/>
  <c r="Q242" i="1"/>
  <c r="P243" i="1"/>
  <c r="Q243" i="1"/>
  <c r="O243" i="1"/>
  <c r="Q246" i="1"/>
  <c r="Q247" i="1"/>
  <c r="Q250" i="1"/>
  <c r="Q251" i="1"/>
  <c r="Q254" i="1"/>
  <c r="Q257" i="1"/>
  <c r="Q260" i="1"/>
  <c r="Q264" i="1"/>
  <c r="Q265" i="1"/>
  <c r="Q266" i="1"/>
  <c r="P264" i="1"/>
  <c r="Q282" i="1"/>
  <c r="Q279" i="1" s="1"/>
  <c r="Q526" i="1" l="1"/>
  <c r="M27" i="2"/>
  <c r="M15" i="2" s="1"/>
  <c r="Q704" i="1"/>
  <c r="Q244" i="1"/>
  <c r="Q240" i="1" s="1"/>
  <c r="Q554" i="1"/>
  <c r="Q553" i="1" s="1"/>
  <c r="Q702" i="1"/>
  <c r="L44" i="2" s="1"/>
  <c r="L42" i="2" s="1"/>
  <c r="Q574" i="1"/>
  <c r="Q575" i="1"/>
  <c r="Q572" i="1" s="1"/>
  <c r="Q587" i="1"/>
  <c r="Q585" i="1" s="1"/>
  <c r="Q525" i="1"/>
  <c r="Q221" i="1"/>
  <c r="Q217" i="1" s="1"/>
  <c r="Q263" i="1"/>
  <c r="M26" i="2" l="1"/>
  <c r="Q291" i="1"/>
  <c r="Q501" i="1"/>
  <c r="Q32" i="1" s="1"/>
  <c r="S187" i="1"/>
  <c r="S188" i="1"/>
  <c r="S189" i="1"/>
  <c r="S191" i="1"/>
  <c r="S192" i="1"/>
  <c r="S193" i="1"/>
  <c r="S100" i="1"/>
  <c r="S101" i="1"/>
  <c r="S123" i="1"/>
  <c r="S124" i="1"/>
  <c r="S125" i="1"/>
  <c r="S135" i="1"/>
  <c r="S136" i="1"/>
  <c r="S137" i="1"/>
  <c r="S139" i="1"/>
  <c r="S140" i="1"/>
  <c r="S141" i="1"/>
  <c r="S151" i="1"/>
  <c r="S152" i="1"/>
  <c r="S153" i="1"/>
  <c r="S155" i="1"/>
  <c r="S156" i="1"/>
  <c r="S157" i="1"/>
  <c r="S163" i="1"/>
  <c r="S164" i="1"/>
  <c r="S165" i="1"/>
  <c r="S167" i="1"/>
  <c r="S168" i="1"/>
  <c r="S169" i="1"/>
  <c r="S175" i="1"/>
  <c r="S176" i="1"/>
  <c r="S177" i="1"/>
  <c r="S179" i="1"/>
  <c r="S180" i="1"/>
  <c r="S181" i="1"/>
  <c r="AO12" i="1"/>
  <c r="Q200" i="1"/>
  <c r="Q201" i="1"/>
  <c r="Q202" i="1"/>
  <c r="Q204" i="1"/>
  <c r="Q205" i="1"/>
  <c r="Q206" i="1"/>
  <c r="Q208" i="1"/>
  <c r="Q209" i="1"/>
  <c r="Q211" i="1"/>
  <c r="Q212" i="1"/>
  <c r="Q213" i="1"/>
  <c r="Q214" i="1"/>
  <c r="Q198" i="1"/>
  <c r="Q195" i="1"/>
  <c r="M24" i="2" l="1"/>
  <c r="M14" i="2"/>
  <c r="M12" i="2" s="1"/>
  <c r="Q29" i="1"/>
  <c r="Q19" i="1"/>
  <c r="Q194" i="1"/>
  <c r="L18" i="2" s="1"/>
  <c r="AO605" i="1"/>
  <c r="AO604" i="1"/>
  <c r="Q609" i="1"/>
  <c r="Q26" i="1" s="1"/>
  <c r="Q610" i="1"/>
  <c r="Q27" i="1" s="1"/>
  <c r="Q611" i="1"/>
  <c r="Q28" i="1" s="1"/>
  <c r="Q605" i="1"/>
  <c r="Q22" i="1" s="1"/>
  <c r="Q606" i="1"/>
  <c r="Q23" i="1" s="1"/>
  <c r="Q607" i="1"/>
  <c r="Q24" i="1" s="1"/>
  <c r="Q608" i="1"/>
  <c r="Q25" i="1" s="1"/>
  <c r="Q603" i="1"/>
  <c r="Q18" i="1" s="1"/>
  <c r="AO598" i="1"/>
  <c r="Q600" i="1"/>
  <c r="Q13" i="1" s="1"/>
  <c r="Q653" i="1"/>
  <c r="Q652" i="1" s="1"/>
  <c r="S650" i="1"/>
  <c r="S694" i="1"/>
  <c r="S692" i="1"/>
  <c r="Q21" i="1" l="1"/>
  <c r="Q11" i="1" s="1"/>
  <c r="Q604" i="1"/>
  <c r="Q598" i="1" s="1"/>
  <c r="S710" i="1"/>
  <c r="L32" i="2" l="1"/>
  <c r="L30" i="2" s="1"/>
  <c r="K237" i="1"/>
  <c r="K231" i="1"/>
  <c r="K228" i="1"/>
  <c r="K208" i="1"/>
  <c r="K205" i="1"/>
  <c r="K254" i="1"/>
  <c r="K251" i="1"/>
  <c r="J234" i="1"/>
  <c r="J231" i="1"/>
  <c r="J228" i="1"/>
  <c r="J208" i="1"/>
  <c r="J205" i="1"/>
  <c r="I78" i="1"/>
  <c r="J246" i="1"/>
  <c r="J247" i="1"/>
  <c r="J250" i="1"/>
  <c r="J251" i="1"/>
  <c r="J254" i="1"/>
  <c r="J257" i="1"/>
  <c r="J266" i="1"/>
  <c r="J241" i="1" l="1"/>
  <c r="K214" i="1"/>
  <c r="K247" i="1"/>
  <c r="K224" i="1"/>
  <c r="J214" i="1"/>
  <c r="J211" i="1"/>
  <c r="K201" i="1"/>
  <c r="J265" i="1"/>
  <c r="J264" i="1"/>
  <c r="J622" i="1"/>
  <c r="I523" i="1"/>
  <c r="I588" i="1"/>
  <c r="I530" i="1"/>
  <c r="I110" i="1"/>
  <c r="J195" i="1" l="1"/>
  <c r="K35" i="1"/>
  <c r="N722" i="1"/>
  <c r="S722" i="1" s="1"/>
  <c r="S720" i="1"/>
  <c r="AO29" i="1" l="1"/>
  <c r="AO30" i="1"/>
  <c r="AO41" i="1"/>
  <c r="AO194" i="1"/>
  <c r="AO195" i="1"/>
  <c r="AO268" i="1"/>
  <c r="AO267" i="1"/>
  <c r="AO264" i="1"/>
  <c r="N268" i="1"/>
  <c r="S268" i="1" s="1"/>
  <c r="AO21" i="1" l="1"/>
  <c r="AO265" i="1"/>
  <c r="AO263" i="1"/>
  <c r="AO280" i="1"/>
  <c r="AO279" i="1"/>
  <c r="AO269" i="1"/>
  <c r="N323" i="1"/>
  <c r="O24" i="2" l="1"/>
  <c r="O18" i="2"/>
  <c r="O12" i="2"/>
  <c r="N660" i="1"/>
  <c r="N659" i="1"/>
  <c r="N658" i="1"/>
  <c r="N657" i="1"/>
  <c r="N656" i="1"/>
  <c r="N655" i="1"/>
  <c r="N264" i="1" l="1"/>
  <c r="O706" i="1" l="1"/>
  <c r="P706" i="1"/>
  <c r="N706" i="1"/>
  <c r="S706" i="1" l="1"/>
  <c r="N220" i="1"/>
  <c r="N609" i="1" l="1"/>
  <c r="N607" i="1"/>
  <c r="S666" i="1" l="1"/>
  <c r="S679" i="1"/>
  <c r="S678" i="1"/>
  <c r="S693" i="1"/>
  <c r="S699" i="1"/>
  <c r="N605" i="1" l="1"/>
  <c r="N608" i="1"/>
  <c r="N610" i="1"/>
  <c r="N606" i="1"/>
  <c r="N662" i="1"/>
  <c r="N270" i="1"/>
  <c r="S270" i="1" s="1"/>
  <c r="N266" i="1" l="1"/>
  <c r="C29" i="2"/>
  <c r="C33" i="2"/>
  <c r="C34" i="2"/>
  <c r="C39" i="2"/>
  <c r="C40" i="2"/>
  <c r="C41" i="2"/>
  <c r="C45" i="2"/>
  <c r="C46" i="2"/>
  <c r="C47" i="2"/>
  <c r="K38" i="2"/>
  <c r="K36" i="2" s="1"/>
  <c r="P724" i="1"/>
  <c r="P723" i="1" s="1"/>
  <c r="K50" i="2" s="1"/>
  <c r="K48" i="2" s="1"/>
  <c r="P705" i="1"/>
  <c r="P703" i="1"/>
  <c r="P702" i="1" s="1"/>
  <c r="K44" i="2" s="1"/>
  <c r="P661" i="1"/>
  <c r="P653" i="1"/>
  <c r="P652" i="1" s="1"/>
  <c r="P640" i="1"/>
  <c r="K35" i="2" s="1"/>
  <c r="K17" i="2" s="1"/>
  <c r="P636" i="1"/>
  <c r="P629" i="1" s="1"/>
  <c r="K42" i="2" l="1"/>
  <c r="P704" i="1"/>
  <c r="P627" i="1"/>
  <c r="P628" i="1"/>
  <c r="P611" i="1" l="1"/>
  <c r="P28" i="1" s="1"/>
  <c r="P607" i="1"/>
  <c r="P600" i="1"/>
  <c r="P603" i="1"/>
  <c r="P534" i="1"/>
  <c r="P533" i="1" s="1"/>
  <c r="P532" i="1"/>
  <c r="P531" i="1"/>
  <c r="P530" i="1"/>
  <c r="P529" i="1"/>
  <c r="P528" i="1"/>
  <c r="P558" i="1"/>
  <c r="P556" i="1"/>
  <c r="P555" i="1"/>
  <c r="P595" i="1"/>
  <c r="P593" i="1" s="1"/>
  <c r="P591" i="1" s="1"/>
  <c r="P594" i="1"/>
  <c r="P592" i="1" s="1"/>
  <c r="P590" i="1" s="1"/>
  <c r="P580" i="1"/>
  <c r="P578" i="1" s="1"/>
  <c r="P579" i="1"/>
  <c r="P577" i="1" s="1"/>
  <c r="P575" i="1" s="1"/>
  <c r="S541" i="1"/>
  <c r="S547" i="1"/>
  <c r="S552" i="1"/>
  <c r="S564" i="1"/>
  <c r="P523" i="1"/>
  <c r="P524" i="1"/>
  <c r="P20" i="1" s="1"/>
  <c r="P311" i="1"/>
  <c r="P323" i="1"/>
  <c r="P335" i="1"/>
  <c r="P347" i="1"/>
  <c r="P501" i="1"/>
  <c r="P307" i="1"/>
  <c r="P295" i="1"/>
  <c r="P291" i="1"/>
  <c r="P280" i="1"/>
  <c r="P198" i="1" s="1"/>
  <c r="P281" i="1"/>
  <c r="P282" i="1"/>
  <c r="P275" i="1"/>
  <c r="P32" i="1" s="1"/>
  <c r="P29" i="1" s="1"/>
  <c r="P26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60" i="1"/>
  <c r="P242" i="1"/>
  <c r="S242" i="1" s="1"/>
  <c r="P223" i="1"/>
  <c r="P224" i="1"/>
  <c r="P225" i="1"/>
  <c r="P227" i="1"/>
  <c r="P228" i="1"/>
  <c r="P229" i="1"/>
  <c r="P231" i="1"/>
  <c r="P232" i="1"/>
  <c r="P234" i="1"/>
  <c r="P235" i="1"/>
  <c r="P236" i="1"/>
  <c r="P237" i="1"/>
  <c r="P200" i="1"/>
  <c r="P201" i="1"/>
  <c r="P202" i="1"/>
  <c r="P204" i="1"/>
  <c r="P205" i="1"/>
  <c r="P206" i="1"/>
  <c r="P208" i="1"/>
  <c r="P209" i="1"/>
  <c r="P211" i="1"/>
  <c r="P212" i="1"/>
  <c r="P213" i="1"/>
  <c r="P214" i="1"/>
  <c r="P195" i="1"/>
  <c r="P18" i="1" l="1"/>
  <c r="P23" i="1"/>
  <c r="P526" i="1"/>
  <c r="L27" i="2"/>
  <c r="L15" i="2" s="1"/>
  <c r="P194" i="1"/>
  <c r="P521" i="1"/>
  <c r="P14" i="1" s="1"/>
  <c r="P554" i="1"/>
  <c r="P27" i="1"/>
  <c r="P26" i="1"/>
  <c r="P25" i="1"/>
  <c r="P24" i="1"/>
  <c r="P244" i="1"/>
  <c r="P240" i="1" s="1"/>
  <c r="P604" i="1"/>
  <c r="K32" i="2" s="1"/>
  <c r="P527" i="1"/>
  <c r="P525" i="1"/>
  <c r="P576" i="1"/>
  <c r="P588" i="1"/>
  <c r="P572" i="1"/>
  <c r="P589" i="1"/>
  <c r="P574" i="1"/>
  <c r="P279" i="1"/>
  <c r="P263" i="1"/>
  <c r="P221" i="1"/>
  <c r="P217" i="1" s="1"/>
  <c r="P19" i="1" l="1"/>
  <c r="P553" i="1"/>
  <c r="L26" i="2"/>
  <c r="K30" i="2"/>
  <c r="P598" i="1"/>
  <c r="P520" i="1"/>
  <c r="P13" i="1" s="1"/>
  <c r="P587" i="1"/>
  <c r="P586" i="1"/>
  <c r="P573" i="1"/>
  <c r="P571" i="1" s="1"/>
  <c r="P21" i="1"/>
  <c r="P11" i="1" l="1"/>
  <c r="L14" i="2"/>
  <c r="P519" i="1"/>
  <c r="P570" i="1"/>
  <c r="P585" i="1"/>
  <c r="M670" i="1"/>
  <c r="S670" i="1" s="1"/>
  <c r="P569" i="1" l="1"/>
  <c r="L28" i="2" s="1"/>
  <c r="M662" i="1"/>
  <c r="L16" i="2" l="1"/>
  <c r="L12" i="2" s="1"/>
  <c r="L24" i="2"/>
  <c r="M702" i="1"/>
  <c r="H44" i="2" s="1"/>
  <c r="M726" i="1" l="1"/>
  <c r="S726" i="1" s="1"/>
  <c r="N267" i="1" l="1"/>
  <c r="N30" i="1" l="1"/>
  <c r="M201" i="1" l="1"/>
  <c r="O201" i="1"/>
  <c r="N201" i="1"/>
  <c r="O204" i="1"/>
  <c r="O200" i="1"/>
  <c r="O281" i="1"/>
  <c r="O280" i="1"/>
  <c r="N281" i="1"/>
  <c r="O282" i="1"/>
  <c r="O198" i="1" l="1"/>
  <c r="AP280" i="1"/>
  <c r="AP281" i="1"/>
  <c r="AP282" i="1"/>
  <c r="M266" i="1"/>
  <c r="M265" i="1"/>
  <c r="M264" i="1"/>
  <c r="N265" i="1"/>
  <c r="O265" i="1"/>
  <c r="O264" i="1"/>
  <c r="O263" i="1" l="1"/>
  <c r="M654" i="1"/>
  <c r="M605" i="1" s="1"/>
  <c r="M606" i="1"/>
  <c r="M656" i="1"/>
  <c r="M657" i="1"/>
  <c r="M658" i="1"/>
  <c r="M659" i="1"/>
  <c r="S659" i="1" s="1"/>
  <c r="M660" i="1"/>
  <c r="M610" i="1" l="1"/>
  <c r="K662" i="1"/>
  <c r="L662" i="1"/>
  <c r="M295" i="1" l="1"/>
  <c r="M618" i="1" l="1"/>
  <c r="S618" i="1" s="1"/>
  <c r="M615" i="1"/>
  <c r="N661" i="1" l="1"/>
  <c r="M609" i="1"/>
  <c r="M608" i="1"/>
  <c r="L661" i="1"/>
  <c r="K661" i="1"/>
  <c r="J662" i="1"/>
  <c r="J661" i="1" s="1"/>
  <c r="I662" i="1"/>
  <c r="S662" i="1" s="1"/>
  <c r="I661" i="1" l="1"/>
  <c r="M661" i="1"/>
  <c r="S661" i="1" l="1"/>
  <c r="C53" i="2"/>
  <c r="C52" i="2"/>
  <c r="C51" i="2"/>
  <c r="G48" i="2"/>
  <c r="F48" i="2"/>
  <c r="E48" i="2"/>
  <c r="D48" i="2"/>
  <c r="I595" i="1" l="1"/>
  <c r="M200" i="1" l="1"/>
  <c r="N204" i="1"/>
  <c r="M204" i="1"/>
  <c r="O205" i="1"/>
  <c r="N205" i="1"/>
  <c r="M205" i="1"/>
  <c r="N208" i="1"/>
  <c r="O208" i="1"/>
  <c r="M208" i="1"/>
  <c r="M211" i="1"/>
  <c r="M214" i="1"/>
  <c r="N223" i="1"/>
  <c r="O223" i="1"/>
  <c r="M223" i="1"/>
  <c r="N224" i="1"/>
  <c r="O224" i="1"/>
  <c r="M224" i="1"/>
  <c r="N227" i="1"/>
  <c r="O227" i="1"/>
  <c r="M227" i="1"/>
  <c r="N228" i="1"/>
  <c r="O228" i="1"/>
  <c r="M228" i="1"/>
  <c r="N231" i="1"/>
  <c r="O231" i="1"/>
  <c r="M231" i="1"/>
  <c r="N234" i="1"/>
  <c r="O234" i="1"/>
  <c r="M234" i="1"/>
  <c r="O237" i="1"/>
  <c r="M237" i="1"/>
  <c r="N246" i="1"/>
  <c r="O246" i="1"/>
  <c r="M246" i="1"/>
  <c r="M247" i="1"/>
  <c r="N250" i="1"/>
  <c r="O250" i="1"/>
  <c r="M250" i="1"/>
  <c r="M251" i="1"/>
  <c r="O254" i="1"/>
  <c r="M254" i="1"/>
  <c r="O257" i="1"/>
  <c r="M257" i="1"/>
  <c r="O260" i="1"/>
  <c r="M260" i="1"/>
  <c r="O38" i="1" l="1"/>
  <c r="N36" i="1"/>
  <c r="N24" i="1" s="1"/>
  <c r="M34" i="1"/>
  <c r="M36" i="1"/>
  <c r="M37" i="1"/>
  <c r="M39" i="1"/>
  <c r="M35" i="1"/>
  <c r="M23" i="1" s="1"/>
  <c r="M38" i="1"/>
  <c r="O34" i="1"/>
  <c r="O22" i="1" s="1"/>
  <c r="O36" i="1"/>
  <c r="M40" i="1"/>
  <c r="N724" i="1"/>
  <c r="N723" i="1" s="1"/>
  <c r="I50" i="2" s="1"/>
  <c r="I48" i="2" s="1"/>
  <c r="O724" i="1"/>
  <c r="O723" i="1" s="1"/>
  <c r="J50" i="2" s="1"/>
  <c r="J48" i="2" s="1"/>
  <c r="N241" i="1" l="1"/>
  <c r="O323" i="1"/>
  <c r="J38" i="2" l="1"/>
  <c r="J36" i="2" s="1"/>
  <c r="O705" i="1"/>
  <c r="O703" i="1"/>
  <c r="O702" i="1" s="1"/>
  <c r="J44" i="2" s="1"/>
  <c r="O653" i="1"/>
  <c r="O652" i="1" s="1"/>
  <c r="O640" i="1"/>
  <c r="J35" i="2" s="1"/>
  <c r="J17" i="2" s="1"/>
  <c r="O616" i="1"/>
  <c r="S616" i="1" s="1"/>
  <c r="O636" i="1"/>
  <c r="O607" i="1"/>
  <c r="O24" i="1" s="1"/>
  <c r="O26" i="1"/>
  <c r="O594" i="1"/>
  <c r="O592" i="1" s="1"/>
  <c r="O590" i="1" s="1"/>
  <c r="O588" i="1" s="1"/>
  <c r="O595" i="1"/>
  <c r="O593" i="1" s="1"/>
  <c r="O591" i="1" s="1"/>
  <c r="O589" i="1" s="1"/>
  <c r="O586" i="1" s="1"/>
  <c r="O579" i="1"/>
  <c r="O577" i="1" s="1"/>
  <c r="O580" i="1"/>
  <c r="O578" i="1" s="1"/>
  <c r="O576" i="1" s="1"/>
  <c r="O573" i="1" s="1"/>
  <c r="O555" i="1"/>
  <c r="O556" i="1"/>
  <c r="O558" i="1"/>
  <c r="O528" i="1"/>
  <c r="K27" i="2" s="1"/>
  <c r="K15" i="2" s="1"/>
  <c r="O529" i="1"/>
  <c r="O530" i="1"/>
  <c r="O531" i="1"/>
  <c r="O532" i="1"/>
  <c r="O534" i="1"/>
  <c r="O533" i="1" s="1"/>
  <c r="O527" i="1" s="1"/>
  <c r="O523" i="1"/>
  <c r="O524" i="1"/>
  <c r="O20" i="1" s="1"/>
  <c r="O501" i="1"/>
  <c r="O299" i="1"/>
  <c r="O306" i="1"/>
  <c r="O303" i="1" s="1"/>
  <c r="O307" i="1"/>
  <c r="O315" i="1"/>
  <c r="O322" i="1"/>
  <c r="O327" i="1"/>
  <c r="O331" i="1"/>
  <c r="O339" i="1"/>
  <c r="O214" i="1"/>
  <c r="O271" i="1"/>
  <c r="O275" i="1"/>
  <c r="O32" i="1" s="1"/>
  <c r="O225" i="1"/>
  <c r="O229" i="1"/>
  <c r="O232" i="1"/>
  <c r="O235" i="1"/>
  <c r="O236" i="1"/>
  <c r="O238" i="1"/>
  <c r="O239" i="1"/>
  <c r="O248" i="1"/>
  <c r="O252" i="1"/>
  <c r="O255" i="1"/>
  <c r="O256" i="1"/>
  <c r="O258" i="1"/>
  <c r="O202" i="1"/>
  <c r="O206" i="1"/>
  <c r="O209" i="1"/>
  <c r="O212" i="1"/>
  <c r="O213" i="1"/>
  <c r="O215" i="1"/>
  <c r="O216" i="1"/>
  <c r="O219" i="1"/>
  <c r="S219" i="1" s="1"/>
  <c r="O197" i="1"/>
  <c r="O194" i="1" s="1"/>
  <c r="O31" i="1" l="1"/>
  <c r="S31" i="1" s="1"/>
  <c r="S271" i="1"/>
  <c r="O603" i="1"/>
  <c r="S603" i="1" s="1"/>
  <c r="O629" i="1"/>
  <c r="O627" i="1" s="1"/>
  <c r="O611" i="1"/>
  <c r="O604" i="1" s="1"/>
  <c r="O40" i="1"/>
  <c r="O249" i="1"/>
  <c r="O311" i="1"/>
  <c r="O251" i="1"/>
  <c r="O335" i="1"/>
  <c r="O211" i="1"/>
  <c r="O253" i="1"/>
  <c r="O319" i="1"/>
  <c r="O554" i="1"/>
  <c r="O553" i="1" s="1"/>
  <c r="O221" i="1"/>
  <c r="O217" i="1" s="1"/>
  <c r="J21" i="2" s="1"/>
  <c r="O295" i="1"/>
  <c r="O525" i="1"/>
  <c r="O520" i="1" s="1"/>
  <c r="O600" i="1"/>
  <c r="S600" i="1" s="1"/>
  <c r="O347" i="1"/>
  <c r="O704" i="1"/>
  <c r="J42" i="2"/>
  <c r="O628" i="1"/>
  <c r="O18" i="1"/>
  <c r="S18" i="1" s="1"/>
  <c r="O521" i="1"/>
  <c r="O587" i="1"/>
  <c r="O585" i="1" s="1"/>
  <c r="O574" i="1"/>
  <c r="O575" i="1"/>
  <c r="O572" i="1" s="1"/>
  <c r="O571" i="1" s="1"/>
  <c r="O570" i="1" s="1"/>
  <c r="O569" i="1" s="1"/>
  <c r="K28" i="2" s="1"/>
  <c r="O526" i="1"/>
  <c r="O343" i="1"/>
  <c r="O598" i="1" l="1"/>
  <c r="O13" i="1"/>
  <c r="S13" i="1" s="1"/>
  <c r="O28" i="1"/>
  <c r="O19" i="1"/>
  <c r="O39" i="1"/>
  <c r="O27" i="1" s="1"/>
  <c r="O37" i="1"/>
  <c r="K26" i="2"/>
  <c r="K14" i="2" s="1"/>
  <c r="C14" i="2" s="1"/>
  <c r="K16" i="2"/>
  <c r="O279" i="1"/>
  <c r="J32" i="2"/>
  <c r="J22" i="2"/>
  <c r="O14" i="1"/>
  <c r="O519" i="1"/>
  <c r="O25" i="1" l="1"/>
  <c r="O35" i="1"/>
  <c r="O33" i="1"/>
  <c r="AP279" i="1"/>
  <c r="K12" i="2"/>
  <c r="C12" i="2" s="1"/>
  <c r="K24" i="2"/>
  <c r="J30" i="2"/>
  <c r="O244" i="1"/>
  <c r="L615" i="1"/>
  <c r="K615" i="1"/>
  <c r="O240" i="1" l="1"/>
  <c r="O23" i="1"/>
  <c r="O21" i="1" s="1"/>
  <c r="O29" i="1"/>
  <c r="J20" i="2" l="1"/>
  <c r="O41" i="1"/>
  <c r="O11" i="1"/>
  <c r="J18" i="2"/>
  <c r="L335" i="1"/>
  <c r="L660" i="1" l="1"/>
  <c r="S660" i="1" s="1"/>
  <c r="L658" i="1"/>
  <c r="S658" i="1" s="1"/>
  <c r="L657" i="1"/>
  <c r="S657" i="1" s="1"/>
  <c r="L656" i="1"/>
  <c r="S656" i="1" s="1"/>
  <c r="L655" i="1"/>
  <c r="S655" i="1" s="1"/>
  <c r="L654" i="1"/>
  <c r="S654" i="1" s="1"/>
  <c r="L640" i="1" l="1"/>
  <c r="I501" i="1" l="1"/>
  <c r="J501" i="1"/>
  <c r="N501" i="1"/>
  <c r="M501" i="1"/>
  <c r="L501" i="1"/>
  <c r="K501" i="1"/>
  <c r="L32" i="1" l="1"/>
  <c r="L19" i="1" s="1"/>
  <c r="S501" i="1"/>
  <c r="N306" i="1"/>
  <c r="M306" i="1"/>
  <c r="L605" i="1" l="1"/>
  <c r="M22" i="1"/>
  <c r="L606" i="1"/>
  <c r="L607" i="1"/>
  <c r="M607" i="1"/>
  <c r="L609" i="1"/>
  <c r="M26" i="1"/>
  <c r="L610" i="1"/>
  <c r="M25" i="1"/>
  <c r="M27" i="1"/>
  <c r="N653" i="1" l="1"/>
  <c r="N652" i="1" s="1"/>
  <c r="L653" i="1"/>
  <c r="L652" i="1" s="1"/>
  <c r="L608" i="1"/>
  <c r="M653" i="1"/>
  <c r="M652" i="1" s="1"/>
  <c r="N237" i="1" l="1"/>
  <c r="P23" i="2" l="1"/>
  <c r="L200" i="1" l="1"/>
  <c r="L201" i="1"/>
  <c r="L205" i="1"/>
  <c r="L208" i="1"/>
  <c r="L211" i="1"/>
  <c r="L214" i="1"/>
  <c r="L223" i="1"/>
  <c r="L224" i="1"/>
  <c r="L228" i="1"/>
  <c r="L231" i="1"/>
  <c r="L234" i="1"/>
  <c r="L237" i="1"/>
  <c r="L246" i="1"/>
  <c r="L247" i="1"/>
  <c r="L250" i="1"/>
  <c r="L251" i="1"/>
  <c r="L254" i="1"/>
  <c r="L257" i="1"/>
  <c r="L260" i="1"/>
  <c r="S260" i="1" s="1"/>
  <c r="I58" i="1" l="1"/>
  <c r="I214" i="1"/>
  <c r="I228" i="1"/>
  <c r="S228" i="1" s="1"/>
  <c r="I234" i="1"/>
  <c r="I237" i="1"/>
  <c r="I247" i="1"/>
  <c r="I251" i="1" l="1"/>
  <c r="I254" i="1"/>
  <c r="I257" i="1"/>
  <c r="I573" i="1" l="1"/>
  <c r="I582" i="1"/>
  <c r="I546" i="1" l="1"/>
  <c r="S546" i="1" s="1"/>
  <c r="I548" i="1" l="1"/>
  <c r="S548" i="1" s="1"/>
  <c r="M19" i="1"/>
  <c r="I245" i="1"/>
  <c r="H38" i="2" l="1"/>
  <c r="H36" i="2" s="1"/>
  <c r="N615" i="1"/>
  <c r="S615" i="1" s="1"/>
  <c r="N636" i="1"/>
  <c r="N611" i="1" s="1"/>
  <c r="N640" i="1"/>
  <c r="I35" i="2" s="1"/>
  <c r="N705" i="1"/>
  <c r="N703" i="1"/>
  <c r="N702" i="1" s="1"/>
  <c r="N528" i="1"/>
  <c r="N530" i="1"/>
  <c r="N531" i="1"/>
  <c r="N532" i="1"/>
  <c r="N534" i="1"/>
  <c r="N533" i="1" s="1"/>
  <c r="N527" i="1" s="1"/>
  <c r="N536" i="1"/>
  <c r="N537" i="1"/>
  <c r="N538" i="1"/>
  <c r="N540" i="1"/>
  <c r="N543" i="1"/>
  <c r="N545" i="1"/>
  <c r="N549" i="1"/>
  <c r="N551" i="1"/>
  <c r="N555" i="1"/>
  <c r="N556" i="1"/>
  <c r="N558" i="1"/>
  <c r="N561" i="1"/>
  <c r="N535" i="1" s="1"/>
  <c r="N563" i="1"/>
  <c r="N594" i="1"/>
  <c r="N595" i="1"/>
  <c r="N593" i="1" s="1"/>
  <c r="N591" i="1" s="1"/>
  <c r="N589" i="1" s="1"/>
  <c r="N586" i="1" s="1"/>
  <c r="N275" i="1"/>
  <c r="N32" i="1" s="1"/>
  <c r="N19" i="1" s="1"/>
  <c r="N284" i="1"/>
  <c r="N280" i="1" s="1"/>
  <c r="N285" i="1"/>
  <c r="N286" i="1"/>
  <c r="N282" i="1" s="1"/>
  <c r="N287" i="1"/>
  <c r="N291" i="1"/>
  <c r="N299" i="1"/>
  <c r="N247" i="1"/>
  <c r="S247" i="1" s="1"/>
  <c r="N315" i="1"/>
  <c r="N322" i="1"/>
  <c r="N253" i="1" s="1"/>
  <c r="N254" i="1"/>
  <c r="S254" i="1" s="1"/>
  <c r="N327" i="1"/>
  <c r="N331" i="1"/>
  <c r="N211" i="1"/>
  <c r="N339" i="1"/>
  <c r="N346" i="1"/>
  <c r="N259" i="1" s="1"/>
  <c r="N214" i="1"/>
  <c r="S214" i="1" s="1"/>
  <c r="N523" i="1"/>
  <c r="N524" i="1"/>
  <c r="N20" i="1" s="1"/>
  <c r="N195" i="1"/>
  <c r="N197" i="1"/>
  <c r="N199" i="1"/>
  <c r="N200" i="1"/>
  <c r="N34" i="1" s="1"/>
  <c r="N22" i="1" s="1"/>
  <c r="N202" i="1"/>
  <c r="N206" i="1"/>
  <c r="N207" i="1"/>
  <c r="N209" i="1"/>
  <c r="N210" i="1"/>
  <c r="N212" i="1"/>
  <c r="N213" i="1"/>
  <c r="N215" i="1"/>
  <c r="N216" i="1"/>
  <c r="N218" i="1"/>
  <c r="N225" i="1"/>
  <c r="N226" i="1"/>
  <c r="N229" i="1"/>
  <c r="N230" i="1"/>
  <c r="N232" i="1"/>
  <c r="N233" i="1"/>
  <c r="N235" i="1"/>
  <c r="N236" i="1"/>
  <c r="N238" i="1"/>
  <c r="N239" i="1"/>
  <c r="N248" i="1"/>
  <c r="N252" i="1"/>
  <c r="N255" i="1"/>
  <c r="N256" i="1"/>
  <c r="N258" i="1"/>
  <c r="N261" i="1"/>
  <c r="N262" i="1"/>
  <c r="N58" i="1"/>
  <c r="N60" i="1"/>
  <c r="N61" i="1"/>
  <c r="N63" i="1"/>
  <c r="N64" i="1"/>
  <c r="N65" i="1"/>
  <c r="N67" i="1"/>
  <c r="N68" i="1"/>
  <c r="N69" i="1"/>
  <c r="N70" i="1"/>
  <c r="N72" i="1"/>
  <c r="N73" i="1"/>
  <c r="N75" i="1"/>
  <c r="N76" i="1"/>
  <c r="N78" i="1"/>
  <c r="N80" i="1"/>
  <c r="N81" i="1"/>
  <c r="N83" i="1"/>
  <c r="N84" i="1"/>
  <c r="N85" i="1"/>
  <c r="N87" i="1"/>
  <c r="N88" i="1"/>
  <c r="N90" i="1"/>
  <c r="N91" i="1"/>
  <c r="N93" i="1"/>
  <c r="N94" i="1"/>
  <c r="N96" i="1"/>
  <c r="N97" i="1"/>
  <c r="N99" i="1"/>
  <c r="N103" i="1"/>
  <c r="N105" i="1"/>
  <c r="N109" i="1"/>
  <c r="N110" i="1"/>
  <c r="N119" i="1"/>
  <c r="N120" i="1"/>
  <c r="N121" i="1"/>
  <c r="N122" i="1"/>
  <c r="N126" i="1"/>
  <c r="N131" i="1"/>
  <c r="N132" i="1"/>
  <c r="N133" i="1"/>
  <c r="N104" i="1" s="1"/>
  <c r="N134" i="1"/>
  <c r="N138" i="1"/>
  <c r="N142" i="1"/>
  <c r="N147" i="1"/>
  <c r="N148" i="1"/>
  <c r="N149" i="1"/>
  <c r="N106" i="1" s="1"/>
  <c r="N150" i="1"/>
  <c r="N154" i="1"/>
  <c r="N159" i="1"/>
  <c r="N160" i="1"/>
  <c r="N161" i="1"/>
  <c r="N107" i="1" s="1"/>
  <c r="N162" i="1"/>
  <c r="N166" i="1"/>
  <c r="N171" i="1"/>
  <c r="N172" i="1"/>
  <c r="N173" i="1"/>
  <c r="N108" i="1" s="1"/>
  <c r="N174" i="1"/>
  <c r="N178" i="1"/>
  <c r="N183" i="1"/>
  <c r="N184" i="1"/>
  <c r="N185" i="1"/>
  <c r="N186" i="1"/>
  <c r="N190" i="1"/>
  <c r="N38" i="1" l="1"/>
  <c r="N26" i="1" s="1"/>
  <c r="N35" i="1"/>
  <c r="N23" i="1" s="1"/>
  <c r="I44" i="2"/>
  <c r="N602" i="1"/>
  <c r="N17" i="1" s="1"/>
  <c r="N592" i="1"/>
  <c r="N590" i="1" s="1"/>
  <c r="N588" i="1" s="1"/>
  <c r="N587" i="1" s="1"/>
  <c r="N585" i="1" s="1"/>
  <c r="N583" i="1" s="1"/>
  <c r="N40" i="1"/>
  <c r="N28" i="1" s="1"/>
  <c r="N604" i="1"/>
  <c r="N526" i="1"/>
  <c r="J27" i="2"/>
  <c r="J15" i="2" s="1"/>
  <c r="N82" i="1"/>
  <c r="N62" i="1"/>
  <c r="N263" i="1"/>
  <c r="N622" i="1"/>
  <c r="N599" i="1" s="1"/>
  <c r="N521" i="1"/>
  <c r="N182" i="1"/>
  <c r="N92" i="1"/>
  <c r="N74" i="1"/>
  <c r="N158" i="1"/>
  <c r="N130" i="1"/>
  <c r="N95" i="1"/>
  <c r="N89" i="1"/>
  <c r="N71" i="1"/>
  <c r="N66" i="1"/>
  <c r="N118" i="1"/>
  <c r="N86" i="1"/>
  <c r="N539" i="1"/>
  <c r="N116" i="1"/>
  <c r="N77" i="1" s="1"/>
  <c r="N257" i="1"/>
  <c r="N39" i="1" s="1"/>
  <c r="N27" i="1" s="1"/>
  <c r="N146" i="1"/>
  <c r="N249" i="1"/>
  <c r="N629" i="1"/>
  <c r="N628" i="1" s="1"/>
  <c r="N170" i="1"/>
  <c r="N117" i="1"/>
  <c r="N98" i="1" s="1"/>
  <c r="N343" i="1"/>
  <c r="N303" i="1"/>
  <c r="N554" i="1"/>
  <c r="J26" i="2" s="1"/>
  <c r="J14" i="2" s="1"/>
  <c r="N529" i="1"/>
  <c r="N347" i="1"/>
  <c r="N283" i="1"/>
  <c r="N704" i="1"/>
  <c r="N582" i="1"/>
  <c r="N525" i="1"/>
  <c r="N295" i="1"/>
  <c r="N307" i="1"/>
  <c r="N319" i="1"/>
  <c r="N102" i="1"/>
  <c r="N115" i="1"/>
  <c r="N57" i="1" s="1"/>
  <c r="N251" i="1" l="1"/>
  <c r="S251" i="1" s="1"/>
  <c r="N311" i="1"/>
  <c r="N14" i="1"/>
  <c r="N598" i="1"/>
  <c r="N335" i="1"/>
  <c r="N279" i="1"/>
  <c r="N59" i="1"/>
  <c r="N79" i="1"/>
  <c r="N198" i="1"/>
  <c r="N194" i="1" s="1"/>
  <c r="N221" i="1"/>
  <c r="N217" i="1" s="1"/>
  <c r="I32" i="2"/>
  <c r="N627" i="1"/>
  <c r="N553" i="1"/>
  <c r="N580" i="1"/>
  <c r="N578" i="1" s="1"/>
  <c r="N576" i="1" s="1"/>
  <c r="N573" i="1" s="1"/>
  <c r="N581" i="1"/>
  <c r="N579" i="1" s="1"/>
  <c r="N577" i="1" s="1"/>
  <c r="N114" i="1"/>
  <c r="N244" i="1" l="1"/>
  <c r="N240" i="1" s="1"/>
  <c r="N37" i="1"/>
  <c r="N25" i="1" s="1"/>
  <c r="N21" i="1" s="1"/>
  <c r="I21" i="2"/>
  <c r="N33" i="1"/>
  <c r="N29" i="1" s="1"/>
  <c r="N520" i="1"/>
  <c r="N12" i="1" s="1"/>
  <c r="N575" i="1"/>
  <c r="N572" i="1" s="1"/>
  <c r="N571" i="1" s="1"/>
  <c r="N570" i="1" s="1"/>
  <c r="N569" i="1" s="1"/>
  <c r="J28" i="2" s="1"/>
  <c r="N574" i="1"/>
  <c r="N11" i="1" l="1"/>
  <c r="N41" i="1"/>
  <c r="I20" i="2"/>
  <c r="J16" i="2"/>
  <c r="J12" i="2" s="1"/>
  <c r="J24" i="2"/>
  <c r="I22" i="2"/>
  <c r="N519" i="1"/>
  <c r="I18" i="2" l="1"/>
  <c r="K717" i="1"/>
  <c r="S717" i="1" s="1"/>
  <c r="K292" i="1" l="1"/>
  <c r="S292" i="1" s="1"/>
  <c r="K304" i="1"/>
  <c r="S304" i="1" s="1"/>
  <c r="K305" i="1"/>
  <c r="S305" i="1" s="1"/>
  <c r="K342" i="1"/>
  <c r="S342" i="1" s="1"/>
  <c r="K344" i="1"/>
  <c r="K609" i="1" l="1"/>
  <c r="K607" i="1"/>
  <c r="K310" i="1" l="1"/>
  <c r="S310" i="1" s="1"/>
  <c r="K309" i="1"/>
  <c r="S309" i="1" s="1"/>
  <c r="K308" i="1"/>
  <c r="S308" i="1" s="1"/>
  <c r="K322" i="1"/>
  <c r="K321" i="1"/>
  <c r="S321" i="1" s="1"/>
  <c r="K320" i="1"/>
  <c r="S320" i="1" s="1"/>
  <c r="K334" i="1"/>
  <c r="S334" i="1" s="1"/>
  <c r="K333" i="1"/>
  <c r="S333" i="1" s="1"/>
  <c r="K332" i="1"/>
  <c r="S332" i="1" s="1"/>
  <c r="K346" i="1"/>
  <c r="K345" i="1"/>
  <c r="K341" i="1"/>
  <c r="S341" i="1" s="1"/>
  <c r="K340" i="1"/>
  <c r="S340" i="1" s="1"/>
  <c r="K306" i="1"/>
  <c r="S306" i="1" s="1"/>
  <c r="K605" i="1" l="1"/>
  <c r="K715" i="1"/>
  <c r="S715" i="1" s="1"/>
  <c r="K606" i="1"/>
  <c r="K23" i="1" l="1"/>
  <c r="K610" i="1"/>
  <c r="K266" i="1"/>
  <c r="K265" i="1"/>
  <c r="K220" i="1"/>
  <c r="S220" i="1" s="1"/>
  <c r="K243" i="1"/>
  <c r="S243" i="1" s="1"/>
  <c r="K264" i="1" l="1"/>
  <c r="K197" i="1"/>
  <c r="K263" i="1" l="1"/>
  <c r="K653" i="1"/>
  <c r="J605" i="1"/>
  <c r="I605" i="1"/>
  <c r="S605" i="1" s="1"/>
  <c r="J653" i="1"/>
  <c r="J652" i="1" s="1"/>
  <c r="I653" i="1"/>
  <c r="S653" i="1" l="1"/>
  <c r="K652" i="1"/>
  <c r="S652" i="1" s="1"/>
  <c r="K644" i="1" l="1"/>
  <c r="S644" i="1" s="1"/>
  <c r="K633" i="1" l="1"/>
  <c r="S633" i="1" s="1"/>
  <c r="K608" i="1" l="1"/>
  <c r="M346" i="1"/>
  <c r="L346" i="1"/>
  <c r="S346" i="1" s="1"/>
  <c r="L345" i="1"/>
  <c r="S345" i="1" s="1"/>
  <c r="L344" i="1"/>
  <c r="S344" i="1" s="1"/>
  <c r="AI346" i="1"/>
  <c r="AH346" i="1"/>
  <c r="AG346" i="1"/>
  <c r="AI345" i="1"/>
  <c r="AH345" i="1"/>
  <c r="AI344" i="1"/>
  <c r="AH344" i="1"/>
  <c r="AG341" i="1"/>
  <c r="AG340" i="1"/>
  <c r="M322" i="1"/>
  <c r="S322" i="1" s="1"/>
  <c r="AI322" i="1"/>
  <c r="AI321" i="1"/>
  <c r="AI308" i="1"/>
  <c r="AI306" i="1"/>
  <c r="AI305" i="1"/>
  <c r="K303" i="1" l="1"/>
  <c r="L195" i="1" l="1"/>
  <c r="M195" i="1"/>
  <c r="L197" i="1"/>
  <c r="M197" i="1"/>
  <c r="L218" i="1"/>
  <c r="M218" i="1"/>
  <c r="L241" i="1"/>
  <c r="M241" i="1"/>
  <c r="L264" i="1"/>
  <c r="S264" i="1" s="1"/>
  <c r="L265" i="1"/>
  <c r="S265" i="1" s="1"/>
  <c r="L266" i="1"/>
  <c r="S266" i="1" s="1"/>
  <c r="L275" i="1"/>
  <c r="M275" i="1"/>
  <c r="K275" i="1"/>
  <c r="M267" i="1"/>
  <c r="M30" i="1" s="1"/>
  <c r="L267" i="1"/>
  <c r="S275" i="1" l="1"/>
  <c r="S197" i="1"/>
  <c r="K32" i="1"/>
  <c r="S32" i="1" s="1"/>
  <c r="L263" i="1"/>
  <c r="J267" i="1"/>
  <c r="M263" i="1"/>
  <c r="K218" i="1"/>
  <c r="K267" i="1"/>
  <c r="K30" i="1" s="1"/>
  <c r="K241" i="1"/>
  <c r="S241" i="1" s="1"/>
  <c r="K195" i="1"/>
  <c r="S267" i="1" l="1"/>
  <c r="K19" i="1"/>
  <c r="S19" i="1" s="1"/>
  <c r="L711" i="1" l="1"/>
  <c r="K711" i="1"/>
  <c r="L213" i="1" l="1"/>
  <c r="K213" i="1"/>
  <c r="J723" i="1" l="1"/>
  <c r="K331" i="1" l="1"/>
  <c r="L622" i="1" l="1"/>
  <c r="L599" i="1" s="1"/>
  <c r="M622" i="1"/>
  <c r="M599" i="1" s="1"/>
  <c r="K239" i="1"/>
  <c r="K622" i="1" l="1"/>
  <c r="K599" i="1" s="1"/>
  <c r="J557" i="1" l="1"/>
  <c r="S557" i="1" s="1"/>
  <c r="J561" i="1"/>
  <c r="K523" i="1"/>
  <c r="L523" i="1"/>
  <c r="M523" i="1"/>
  <c r="J224" i="1" l="1"/>
  <c r="J218" i="1" l="1"/>
  <c r="J585" i="1" l="1"/>
  <c r="I585" i="1"/>
  <c r="J572" i="1"/>
  <c r="J237" i="1" l="1"/>
  <c r="S237" i="1" s="1"/>
  <c r="J327" i="1"/>
  <c r="J200" i="1" l="1"/>
  <c r="J347" i="1" l="1"/>
  <c r="J40" i="1" s="1"/>
  <c r="J315" i="1"/>
  <c r="J307" i="1"/>
  <c r="J263" i="1" l="1"/>
  <c r="S263" i="1" s="1"/>
  <c r="J606" i="1" l="1"/>
  <c r="J607" i="1"/>
  <c r="J608" i="1"/>
  <c r="J609" i="1"/>
  <c r="J610" i="1"/>
  <c r="K647" i="1"/>
  <c r="J647" i="1"/>
  <c r="S647" i="1" s="1"/>
  <c r="K636" i="1"/>
  <c r="L636" i="1"/>
  <c r="M636" i="1"/>
  <c r="M611" i="1" s="1"/>
  <c r="J636" i="1"/>
  <c r="M640" i="1"/>
  <c r="H35" i="2" s="1"/>
  <c r="H17" i="2" s="1"/>
  <c r="I640" i="1"/>
  <c r="S636" i="1" l="1"/>
  <c r="K611" i="1"/>
  <c r="L611" i="1"/>
  <c r="L604" i="1" s="1"/>
  <c r="L629" i="1"/>
  <c r="L628" i="1" s="1"/>
  <c r="M629" i="1"/>
  <c r="M628" i="1" s="1"/>
  <c r="J611" i="1"/>
  <c r="G35" i="2"/>
  <c r="G17" i="2" s="1"/>
  <c r="K629" i="1"/>
  <c r="K628" i="1" s="1"/>
  <c r="J640" i="1"/>
  <c r="E35" i="2" s="1"/>
  <c r="E17" i="2" s="1"/>
  <c r="J629" i="1"/>
  <c r="J628" i="1" s="1"/>
  <c r="K640" i="1"/>
  <c r="F35" i="2" s="1"/>
  <c r="F17" i="2" s="1"/>
  <c r="L30" i="1"/>
  <c r="J30" i="1"/>
  <c r="M216" i="1"/>
  <c r="L216" i="1"/>
  <c r="K216" i="1"/>
  <c r="M215" i="1"/>
  <c r="L215" i="1"/>
  <c r="K215" i="1"/>
  <c r="M213" i="1"/>
  <c r="M212" i="1"/>
  <c r="L212" i="1"/>
  <c r="K212" i="1"/>
  <c r="M210" i="1"/>
  <c r="L210" i="1"/>
  <c r="K210" i="1"/>
  <c r="M209" i="1"/>
  <c r="L209" i="1"/>
  <c r="K209" i="1"/>
  <c r="M207" i="1"/>
  <c r="L207" i="1"/>
  <c r="K207" i="1"/>
  <c r="M206" i="1"/>
  <c r="L206" i="1"/>
  <c r="K206" i="1"/>
  <c r="L204" i="1"/>
  <c r="K204" i="1"/>
  <c r="M202" i="1"/>
  <c r="L202" i="1"/>
  <c r="K200" i="1"/>
  <c r="M199" i="1"/>
  <c r="L199" i="1"/>
  <c r="K199" i="1"/>
  <c r="M239" i="1"/>
  <c r="L239" i="1"/>
  <c r="M238" i="1"/>
  <c r="L238" i="1"/>
  <c r="K238" i="1"/>
  <c r="M236" i="1"/>
  <c r="L236" i="1"/>
  <c r="K236" i="1"/>
  <c r="M235" i="1"/>
  <c r="L235" i="1"/>
  <c r="K235" i="1"/>
  <c r="M233" i="1"/>
  <c r="L233" i="1"/>
  <c r="K233" i="1"/>
  <c r="M232" i="1"/>
  <c r="L232" i="1"/>
  <c r="K232" i="1"/>
  <c r="M230" i="1"/>
  <c r="L230" i="1"/>
  <c r="K230" i="1"/>
  <c r="M229" i="1"/>
  <c r="L229" i="1"/>
  <c r="K229" i="1"/>
  <c r="L227" i="1"/>
  <c r="L221" i="1" s="1"/>
  <c r="K227" i="1"/>
  <c r="M226" i="1"/>
  <c r="L226" i="1"/>
  <c r="K226" i="1"/>
  <c r="M225" i="1"/>
  <c r="L225" i="1"/>
  <c r="K225" i="1"/>
  <c r="K223" i="1"/>
  <c r="J199" i="1"/>
  <c r="J204" i="1"/>
  <c r="J206" i="1"/>
  <c r="J207" i="1"/>
  <c r="J209" i="1"/>
  <c r="S209" i="1" s="1"/>
  <c r="J210" i="1"/>
  <c r="J212" i="1"/>
  <c r="J213" i="1"/>
  <c r="J215" i="1"/>
  <c r="S215" i="1" s="1"/>
  <c r="J216" i="1"/>
  <c r="J223" i="1"/>
  <c r="J226" i="1"/>
  <c r="J225" i="1"/>
  <c r="J227" i="1"/>
  <c r="J230" i="1"/>
  <c r="J229" i="1"/>
  <c r="J232" i="1"/>
  <c r="J233" i="1"/>
  <c r="J235" i="1"/>
  <c r="S235" i="1" s="1"/>
  <c r="J236" i="1"/>
  <c r="S236" i="1" s="1"/>
  <c r="J239" i="1"/>
  <c r="S239" i="1" s="1"/>
  <c r="J238" i="1"/>
  <c r="I241" i="1"/>
  <c r="S233" i="1" l="1"/>
  <c r="S229" i="1"/>
  <c r="S230" i="1"/>
  <c r="S212" i="1"/>
  <c r="S216" i="1"/>
  <c r="S238" i="1"/>
  <c r="S628" i="1"/>
  <c r="S640" i="1"/>
  <c r="J604" i="1"/>
  <c r="J28" i="1"/>
  <c r="M627" i="1"/>
  <c r="C35" i="2"/>
  <c r="K604" i="1"/>
  <c r="M604" i="1"/>
  <c r="M28" i="1"/>
  <c r="L217" i="1"/>
  <c r="L627" i="1"/>
  <c r="L198" i="1"/>
  <c r="L194" i="1" s="1"/>
  <c r="AU30" i="1"/>
  <c r="J627" i="1"/>
  <c r="K627" i="1"/>
  <c r="M262" i="1"/>
  <c r="L262" i="1"/>
  <c r="M261" i="1"/>
  <c r="L261" i="1"/>
  <c r="K261" i="1"/>
  <c r="M259" i="1"/>
  <c r="L259" i="1"/>
  <c r="K259" i="1"/>
  <c r="M258" i="1"/>
  <c r="L258" i="1"/>
  <c r="K258" i="1"/>
  <c r="M256" i="1"/>
  <c r="L256" i="1"/>
  <c r="K256" i="1"/>
  <c r="M255" i="1"/>
  <c r="L255" i="1"/>
  <c r="K255" i="1"/>
  <c r="M253" i="1"/>
  <c r="L253" i="1"/>
  <c r="K253" i="1"/>
  <c r="M252" i="1"/>
  <c r="L252" i="1"/>
  <c r="K252" i="1"/>
  <c r="M24" i="1"/>
  <c r="K250" i="1"/>
  <c r="S250" i="1" s="1"/>
  <c r="M249" i="1"/>
  <c r="L249" i="1"/>
  <c r="K249" i="1"/>
  <c r="M248" i="1"/>
  <c r="L248" i="1"/>
  <c r="K248" i="1"/>
  <c r="K246" i="1"/>
  <c r="S246" i="1" s="1"/>
  <c r="J261" i="1"/>
  <c r="J262" i="1"/>
  <c r="J34" i="1"/>
  <c r="J248" i="1"/>
  <c r="J249" i="1"/>
  <c r="J252" i="1"/>
  <c r="J253" i="1"/>
  <c r="J255" i="1"/>
  <c r="J256" i="1"/>
  <c r="J258" i="1"/>
  <c r="J259" i="1"/>
  <c r="AV262" i="1"/>
  <c r="AV259" i="1"/>
  <c r="I240" i="1"/>
  <c r="AV239" i="1"/>
  <c r="AV236" i="1"/>
  <c r="I232" i="1"/>
  <c r="S232" i="1" s="1"/>
  <c r="S227" i="1"/>
  <c r="I226" i="1"/>
  <c r="S226" i="1" s="1"/>
  <c r="S223" i="1"/>
  <c r="I213" i="1"/>
  <c r="S213" i="1" s="1"/>
  <c r="I210" i="1"/>
  <c r="S210" i="1" s="1"/>
  <c r="I207" i="1"/>
  <c r="S207" i="1" s="1"/>
  <c r="I204" i="1"/>
  <c r="S204" i="1" s="1"/>
  <c r="I202" i="1"/>
  <c r="S202" i="1" s="1"/>
  <c r="I199" i="1"/>
  <c r="S199" i="1" s="1"/>
  <c r="I195" i="1"/>
  <c r="S195" i="1" s="1"/>
  <c r="I60" i="1"/>
  <c r="J60" i="1"/>
  <c r="K60" i="1"/>
  <c r="L60" i="1"/>
  <c r="M60" i="1"/>
  <c r="I76" i="1"/>
  <c r="I73" i="1"/>
  <c r="I72" i="1"/>
  <c r="I68" i="1"/>
  <c r="I65" i="1"/>
  <c r="S627" i="1" l="1"/>
  <c r="I71" i="1"/>
  <c r="J37" i="1"/>
  <c r="J25" i="1" s="1"/>
  <c r="S60" i="1"/>
  <c r="K36" i="1"/>
  <c r="K24" i="1" s="1"/>
  <c r="G21" i="2"/>
  <c r="M221" i="1"/>
  <c r="M217" i="1" s="1"/>
  <c r="M198" i="1"/>
  <c r="M194" i="1" s="1"/>
  <c r="J221" i="1"/>
  <c r="J217" i="1" s="1"/>
  <c r="E21" i="2" s="1"/>
  <c r="L244" i="1"/>
  <c r="L240" i="1" s="1"/>
  <c r="S208" i="1"/>
  <c r="I211" i="1"/>
  <c r="I231" i="1"/>
  <c r="G22" i="2"/>
  <c r="K38" i="1"/>
  <c r="K26" i="1" s="1"/>
  <c r="K37" i="1"/>
  <c r="K39" i="1"/>
  <c r="J38" i="1"/>
  <c r="J26" i="1" s="1"/>
  <c r="J39" i="1"/>
  <c r="J36" i="1"/>
  <c r="K34" i="1"/>
  <c r="K22" i="1" s="1"/>
  <c r="J27" i="1" l="1"/>
  <c r="G20" i="2"/>
  <c r="H21" i="2"/>
  <c r="M244" i="1"/>
  <c r="M240" i="1" s="1"/>
  <c r="H20" i="2" s="1"/>
  <c r="J178" i="1"/>
  <c r="S350" i="1"/>
  <c r="S349" i="1"/>
  <c r="S348" i="1"/>
  <c r="AG347" i="1"/>
  <c r="AJ347" i="1" s="1"/>
  <c r="AV346" i="1"/>
  <c r="AV345" i="1"/>
  <c r="M343" i="1"/>
  <c r="L343" i="1"/>
  <c r="K343" i="1"/>
  <c r="J343" i="1"/>
  <c r="I343" i="1"/>
  <c r="M339" i="1"/>
  <c r="L339" i="1"/>
  <c r="K339" i="1"/>
  <c r="J339" i="1"/>
  <c r="I339" i="1"/>
  <c r="K338" i="1"/>
  <c r="K257" i="1" s="1"/>
  <c r="S257" i="1" s="1"/>
  <c r="I338" i="1"/>
  <c r="K337" i="1"/>
  <c r="K234" i="1" s="1"/>
  <c r="S234" i="1" s="1"/>
  <c r="I337" i="1"/>
  <c r="K336" i="1"/>
  <c r="K211" i="1" s="1"/>
  <c r="K198" i="1" s="1"/>
  <c r="K194" i="1" s="1"/>
  <c r="I336" i="1"/>
  <c r="M331" i="1"/>
  <c r="L331" i="1"/>
  <c r="J331" i="1"/>
  <c r="I331" i="1"/>
  <c r="M327" i="1"/>
  <c r="L327" i="1"/>
  <c r="K327" i="1"/>
  <c r="I327" i="1"/>
  <c r="I326" i="1"/>
  <c r="S326" i="1" s="1"/>
  <c r="I325" i="1"/>
  <c r="S325" i="1" s="1"/>
  <c r="I324" i="1"/>
  <c r="S324" i="1" s="1"/>
  <c r="AV322" i="1"/>
  <c r="AV321" i="1"/>
  <c r="M319" i="1"/>
  <c r="L319" i="1"/>
  <c r="K319" i="1"/>
  <c r="J319" i="1"/>
  <c r="I319" i="1"/>
  <c r="M315" i="1"/>
  <c r="L315" i="1"/>
  <c r="K315" i="1"/>
  <c r="I315" i="1"/>
  <c r="I314" i="1"/>
  <c r="S314" i="1" s="1"/>
  <c r="I313" i="1"/>
  <c r="S313" i="1" s="1"/>
  <c r="I312" i="1"/>
  <c r="S312" i="1" s="1"/>
  <c r="M307" i="1"/>
  <c r="L307" i="1"/>
  <c r="K307" i="1"/>
  <c r="I307" i="1"/>
  <c r="M303" i="1"/>
  <c r="L303" i="1"/>
  <c r="J303" i="1"/>
  <c r="I303" i="1"/>
  <c r="M299" i="1"/>
  <c r="L299" i="1"/>
  <c r="K299" i="1"/>
  <c r="J299" i="1"/>
  <c r="I299" i="1"/>
  <c r="I298" i="1"/>
  <c r="S298" i="1" s="1"/>
  <c r="I297" i="1"/>
  <c r="S297" i="1" s="1"/>
  <c r="J201" i="1"/>
  <c r="J198" i="1" s="1"/>
  <c r="I296" i="1"/>
  <c r="S296" i="1" s="1"/>
  <c r="AV294" i="1"/>
  <c r="AV293" i="1"/>
  <c r="M291" i="1"/>
  <c r="L291" i="1"/>
  <c r="K291" i="1"/>
  <c r="J291" i="1"/>
  <c r="J22" i="1" s="1"/>
  <c r="I291" i="1"/>
  <c r="M287" i="1"/>
  <c r="L287" i="1"/>
  <c r="K287" i="1"/>
  <c r="J287" i="1"/>
  <c r="I287" i="1"/>
  <c r="M286" i="1"/>
  <c r="M282" i="1" s="1"/>
  <c r="L286" i="1"/>
  <c r="K286" i="1"/>
  <c r="J286" i="1"/>
  <c r="I286" i="1"/>
  <c r="M285" i="1"/>
  <c r="M281" i="1" s="1"/>
  <c r="L285" i="1"/>
  <c r="K285" i="1"/>
  <c r="J285" i="1"/>
  <c r="I285" i="1"/>
  <c r="M284" i="1"/>
  <c r="L284" i="1"/>
  <c r="K284" i="1"/>
  <c r="J284" i="1"/>
  <c r="I284" i="1"/>
  <c r="CA283" i="1"/>
  <c r="AG283" i="1"/>
  <c r="AJ283" i="1" s="1"/>
  <c r="AI279" i="1"/>
  <c r="AH279" i="1"/>
  <c r="AV216" i="1"/>
  <c r="S319" i="1" l="1"/>
  <c r="S339" i="1"/>
  <c r="K282" i="1"/>
  <c r="S286" i="1"/>
  <c r="S291" i="1"/>
  <c r="S337" i="1"/>
  <c r="S331" i="1"/>
  <c r="S338" i="1"/>
  <c r="S303" i="1"/>
  <c r="S285" i="1"/>
  <c r="S327" i="1"/>
  <c r="S336" i="1"/>
  <c r="S299" i="1"/>
  <c r="S287" i="1"/>
  <c r="S315" i="1"/>
  <c r="S284" i="1"/>
  <c r="S307" i="1"/>
  <c r="S343" i="1"/>
  <c r="S211" i="1"/>
  <c r="F22" i="2"/>
  <c r="K244" i="1"/>
  <c r="J194" i="1"/>
  <c r="E22" i="2" s="1"/>
  <c r="J35" i="1"/>
  <c r="J33" i="1" s="1"/>
  <c r="K221" i="1"/>
  <c r="K217" i="1" s="1"/>
  <c r="J244" i="1"/>
  <c r="J240" i="1" s="1"/>
  <c r="G18" i="2"/>
  <c r="L36" i="1"/>
  <c r="L34" i="1"/>
  <c r="L22" i="1" s="1"/>
  <c r="H22" i="2"/>
  <c r="H18" i="2" s="1"/>
  <c r="K347" i="1"/>
  <c r="K40" i="1" s="1"/>
  <c r="K28" i="1" s="1"/>
  <c r="AV291" i="1"/>
  <c r="CB259" i="1"/>
  <c r="CA259" i="1"/>
  <c r="AV343" i="1"/>
  <c r="CB235" i="1"/>
  <c r="CA236" i="1"/>
  <c r="I194" i="1"/>
  <c r="S194" i="1" s="1"/>
  <c r="CB258" i="1"/>
  <c r="I225" i="1"/>
  <c r="S225" i="1" s="1"/>
  <c r="I206" i="1"/>
  <c r="S206" i="1" s="1"/>
  <c r="J283" i="1"/>
  <c r="I222" i="1"/>
  <c r="S222" i="1" s="1"/>
  <c r="I203" i="1"/>
  <c r="S203" i="1" s="1"/>
  <c r="I218" i="1"/>
  <c r="S218" i="1" s="1"/>
  <c r="I217" i="1"/>
  <c r="I200" i="1"/>
  <c r="S200" i="1" s="1"/>
  <c r="M311" i="1"/>
  <c r="M335" i="1"/>
  <c r="K280" i="1"/>
  <c r="J311" i="1"/>
  <c r="M283" i="1"/>
  <c r="I280" i="1"/>
  <c r="K295" i="1"/>
  <c r="K311" i="1"/>
  <c r="J323" i="1"/>
  <c r="M323" i="1"/>
  <c r="L39" i="1"/>
  <c r="M347" i="1"/>
  <c r="AG279" i="1"/>
  <c r="AJ279" i="1" s="1"/>
  <c r="K281" i="1"/>
  <c r="L283" i="1"/>
  <c r="L280" i="1"/>
  <c r="L282" i="1"/>
  <c r="I311" i="1"/>
  <c r="L323" i="1"/>
  <c r="L38" i="1" s="1"/>
  <c r="L347" i="1"/>
  <c r="M280" i="1"/>
  <c r="K283" i="1"/>
  <c r="L295" i="1"/>
  <c r="L35" i="1" s="1"/>
  <c r="J281" i="1"/>
  <c r="L311" i="1"/>
  <c r="L37" i="1" s="1"/>
  <c r="L281" i="1"/>
  <c r="K323" i="1"/>
  <c r="K335" i="1"/>
  <c r="I283" i="1"/>
  <c r="I295" i="1"/>
  <c r="AV303" i="1"/>
  <c r="I323" i="1"/>
  <c r="I335" i="1"/>
  <c r="I281" i="1"/>
  <c r="I282" i="1"/>
  <c r="I347" i="1"/>
  <c r="J295" i="1"/>
  <c r="AV319" i="1"/>
  <c r="J335" i="1"/>
  <c r="J280" i="1"/>
  <c r="J282" i="1"/>
  <c r="M56" i="1"/>
  <c r="L56" i="1"/>
  <c r="K56" i="1"/>
  <c r="J56" i="1"/>
  <c r="M54" i="1"/>
  <c r="L54" i="1"/>
  <c r="K54" i="1"/>
  <c r="J54" i="1"/>
  <c r="I54" i="1"/>
  <c r="M52" i="1"/>
  <c r="L52" i="1"/>
  <c r="K52" i="1"/>
  <c r="J52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5" i="1"/>
  <c r="L45" i="1"/>
  <c r="K45" i="1"/>
  <c r="J45" i="1"/>
  <c r="K240" i="1" l="1"/>
  <c r="S244" i="1"/>
  <c r="S347" i="1"/>
  <c r="S282" i="1"/>
  <c r="S280" i="1"/>
  <c r="S281" i="1"/>
  <c r="S323" i="1"/>
  <c r="S217" i="1"/>
  <c r="S295" i="1"/>
  <c r="S283" i="1"/>
  <c r="S311" i="1"/>
  <c r="S335" i="1"/>
  <c r="S240" i="1"/>
  <c r="F20" i="2"/>
  <c r="F21" i="2"/>
  <c r="J23" i="1"/>
  <c r="S54" i="1"/>
  <c r="M279" i="1"/>
  <c r="L27" i="1"/>
  <c r="L40" i="1"/>
  <c r="L24" i="1"/>
  <c r="L26" i="1"/>
  <c r="L25" i="1"/>
  <c r="CB261" i="1"/>
  <c r="S205" i="1"/>
  <c r="I201" i="1"/>
  <c r="S201" i="1" s="1"/>
  <c r="S224" i="1"/>
  <c r="AM347" i="1"/>
  <c r="CB212" i="1"/>
  <c r="K279" i="1"/>
  <c r="K33" i="1" s="1"/>
  <c r="L279" i="1"/>
  <c r="AM283" i="1"/>
  <c r="I279" i="1"/>
  <c r="J279" i="1"/>
  <c r="I611" i="1"/>
  <c r="S611" i="1" s="1"/>
  <c r="K27" i="1"/>
  <c r="I606" i="1"/>
  <c r="S606" i="1" s="1"/>
  <c r="I607" i="1"/>
  <c r="S607" i="1" s="1"/>
  <c r="I608" i="1"/>
  <c r="S608" i="1" s="1"/>
  <c r="I609" i="1"/>
  <c r="S609" i="1" s="1"/>
  <c r="I610" i="1"/>
  <c r="S610" i="1" s="1"/>
  <c r="I629" i="1"/>
  <c r="S629" i="1" s="1"/>
  <c r="E20" i="2" l="1"/>
  <c r="S279" i="1"/>
  <c r="K29" i="1"/>
  <c r="F18" i="2"/>
  <c r="L28" i="1"/>
  <c r="L33" i="1"/>
  <c r="L23" i="1"/>
  <c r="M33" i="1"/>
  <c r="M29" i="1" s="1"/>
  <c r="AM279" i="1"/>
  <c r="I604" i="1"/>
  <c r="S604" i="1" s="1"/>
  <c r="J75" i="1"/>
  <c r="J76" i="1"/>
  <c r="L21" i="1" l="1"/>
  <c r="L29" i="1"/>
  <c r="J74" i="1"/>
  <c r="J133" i="1"/>
  <c r="J132" i="1"/>
  <c r="J104" i="1" l="1"/>
  <c r="K133" i="1"/>
  <c r="L133" i="1"/>
  <c r="M133" i="1"/>
  <c r="J149" i="1"/>
  <c r="K149" i="1"/>
  <c r="L149" i="1"/>
  <c r="M149" i="1"/>
  <c r="CD21" i="1"/>
  <c r="CE28" i="1" s="1"/>
  <c r="CF28" i="1" s="1"/>
  <c r="CI28" i="1" s="1"/>
  <c r="S149" i="1" l="1"/>
  <c r="S133" i="1"/>
  <c r="J106" i="1"/>
  <c r="CE23" i="1"/>
  <c r="CF23" i="1" s="1"/>
  <c r="CI23" i="1" s="1"/>
  <c r="CE26" i="1"/>
  <c r="CF26" i="1" s="1"/>
  <c r="CI26" i="1" s="1"/>
  <c r="CE27" i="1"/>
  <c r="CF27" i="1" s="1"/>
  <c r="CI27" i="1" s="1"/>
  <c r="CE22" i="1"/>
  <c r="CE24" i="1"/>
  <c r="CF24" i="1" s="1"/>
  <c r="CI24" i="1" s="1"/>
  <c r="CE25" i="1"/>
  <c r="CF25" i="1" s="1"/>
  <c r="CI25" i="1" s="1"/>
  <c r="CF22" i="1" l="1"/>
  <c r="CI22" i="1" s="1"/>
  <c r="CE29" i="1"/>
  <c r="K173" i="1"/>
  <c r="J173" i="1"/>
  <c r="J108" i="1" l="1"/>
  <c r="I108" i="1"/>
  <c r="J601" i="1"/>
  <c r="J559" i="1"/>
  <c r="J523" i="1" s="1"/>
  <c r="J567" i="1"/>
  <c r="S567" i="1" s="1"/>
  <c r="J565" i="1"/>
  <c r="S565" i="1" s="1"/>
  <c r="J44" i="1" l="1"/>
  <c r="J524" i="1"/>
  <c r="J110" i="1"/>
  <c r="J20" i="1" l="1"/>
  <c r="I580" i="1" l="1"/>
  <c r="I578" i="1"/>
  <c r="I590" i="1"/>
  <c r="I592" i="1"/>
  <c r="M595" i="1"/>
  <c r="M593" i="1" s="1"/>
  <c r="M591" i="1" s="1"/>
  <c r="M589" i="1" s="1"/>
  <c r="M586" i="1" s="1"/>
  <c r="L595" i="1"/>
  <c r="L593" i="1" s="1"/>
  <c r="L591" i="1" s="1"/>
  <c r="L589" i="1" s="1"/>
  <c r="L586" i="1" s="1"/>
  <c r="K595" i="1"/>
  <c r="K593" i="1" s="1"/>
  <c r="K591" i="1" s="1"/>
  <c r="K589" i="1" s="1"/>
  <c r="K586" i="1" s="1"/>
  <c r="S586" i="1" s="1"/>
  <c r="J595" i="1"/>
  <c r="S595" i="1" s="1"/>
  <c r="J593" i="1" l="1"/>
  <c r="I570" i="1"/>
  <c r="I575" i="1"/>
  <c r="I577" i="1"/>
  <c r="I581" i="1"/>
  <c r="I579" i="1"/>
  <c r="L582" i="1"/>
  <c r="I572" i="1"/>
  <c r="K582" i="1"/>
  <c r="M582" i="1"/>
  <c r="M580" i="1" s="1"/>
  <c r="M578" i="1" s="1"/>
  <c r="M576" i="1" s="1"/>
  <c r="M573" i="1" s="1"/>
  <c r="J580" i="1" l="1"/>
  <c r="S593" i="1"/>
  <c r="J591" i="1"/>
  <c r="S591" i="1" s="1"/>
  <c r="J579" i="1"/>
  <c r="K580" i="1"/>
  <c r="K578" i="1" s="1"/>
  <c r="K576" i="1" s="1"/>
  <c r="K573" i="1" s="1"/>
  <c r="I569" i="1"/>
  <c r="L580" i="1"/>
  <c r="L578" i="1" s="1"/>
  <c r="L576" i="1" s="1"/>
  <c r="L573" i="1" s="1"/>
  <c r="L570" i="1" s="1"/>
  <c r="J589" i="1"/>
  <c r="S589" i="1" s="1"/>
  <c r="S573" i="1" l="1"/>
  <c r="S580" i="1"/>
  <c r="J578" i="1"/>
  <c r="K570" i="1"/>
  <c r="J576" i="1"/>
  <c r="S576" i="1" s="1"/>
  <c r="J577" i="1" l="1"/>
  <c r="S578" i="1"/>
  <c r="J570" i="1"/>
  <c r="J575" i="1"/>
  <c r="J582" i="1"/>
  <c r="S582" i="1" s="1"/>
  <c r="J581" i="1" l="1"/>
  <c r="J569" i="1"/>
  <c r="M532" i="1" l="1"/>
  <c r="L532" i="1"/>
  <c r="K532" i="1"/>
  <c r="J532" i="1"/>
  <c r="J29" i="1" s="1"/>
  <c r="M531" i="1"/>
  <c r="L531" i="1"/>
  <c r="K531" i="1"/>
  <c r="J531" i="1"/>
  <c r="M530" i="1"/>
  <c r="L530" i="1"/>
  <c r="K530" i="1"/>
  <c r="J530" i="1"/>
  <c r="S531" i="1" l="1"/>
  <c r="S532" i="1" l="1"/>
  <c r="AV279" i="1" l="1"/>
  <c r="AV213" i="1" s="1"/>
  <c r="M705" i="1"/>
  <c r="L705" i="1"/>
  <c r="K705" i="1"/>
  <c r="J705" i="1"/>
  <c r="I705" i="1"/>
  <c r="J711" i="1"/>
  <c r="J24" i="1" s="1"/>
  <c r="S705" i="1" l="1"/>
  <c r="I711" i="1"/>
  <c r="S711" i="1" s="1"/>
  <c r="I562" i="1" l="1"/>
  <c r="S562" i="1" s="1"/>
  <c r="I614" i="1" l="1"/>
  <c r="S614" i="1" s="1"/>
  <c r="I560" i="1"/>
  <c r="S560" i="1" s="1"/>
  <c r="I99" i="1" l="1"/>
  <c r="CB236" i="1" l="1"/>
  <c r="CB238" i="1" s="1"/>
  <c r="M594" i="1"/>
  <c r="M592" i="1" s="1"/>
  <c r="M590" i="1" s="1"/>
  <c r="M588" i="1" s="1"/>
  <c r="L594" i="1"/>
  <c r="L592" i="1" s="1"/>
  <c r="L590" i="1" s="1"/>
  <c r="L588" i="1" s="1"/>
  <c r="K594" i="1"/>
  <c r="K592" i="1" s="1"/>
  <c r="K590" i="1" s="1"/>
  <c r="K588" i="1" s="1"/>
  <c r="J594" i="1"/>
  <c r="J592" i="1" s="1"/>
  <c r="S592" i="1" s="1"/>
  <c r="I594" i="1"/>
  <c r="S594" i="1" s="1"/>
  <c r="K587" i="1" l="1"/>
  <c r="M587" i="1"/>
  <c r="M585" i="1" s="1"/>
  <c r="M583" i="1" s="1"/>
  <c r="M581" i="1" s="1"/>
  <c r="M579" i="1" s="1"/>
  <c r="M577" i="1" s="1"/>
  <c r="L587" i="1"/>
  <c r="L585" i="1" s="1"/>
  <c r="L583" i="1" s="1"/>
  <c r="L581" i="1" s="1"/>
  <c r="L579" i="1" s="1"/>
  <c r="L577" i="1" s="1"/>
  <c r="J590" i="1"/>
  <c r="S590" i="1" s="1"/>
  <c r="E28" i="2"/>
  <c r="E16" i="2" s="1"/>
  <c r="D28" i="2"/>
  <c r="S587" i="1" l="1"/>
  <c r="M575" i="1"/>
  <c r="M572" i="1" s="1"/>
  <c r="M571" i="1" s="1"/>
  <c r="M570" i="1" s="1"/>
  <c r="S570" i="1" s="1"/>
  <c r="M574" i="1"/>
  <c r="L575" i="1"/>
  <c r="L572" i="1" s="1"/>
  <c r="L571" i="1" s="1"/>
  <c r="L569" i="1" s="1"/>
  <c r="L574" i="1"/>
  <c r="K585" i="1"/>
  <c r="S585" i="1" s="1"/>
  <c r="J588" i="1"/>
  <c r="S588" i="1" s="1"/>
  <c r="M70" i="1"/>
  <c r="L70" i="1"/>
  <c r="K70" i="1"/>
  <c r="J70" i="1"/>
  <c r="M69" i="1"/>
  <c r="L69" i="1"/>
  <c r="K69" i="1"/>
  <c r="J69" i="1"/>
  <c r="I69" i="1"/>
  <c r="M91" i="1"/>
  <c r="L91" i="1"/>
  <c r="K91" i="1"/>
  <c r="J91" i="1"/>
  <c r="M90" i="1"/>
  <c r="M89" i="1" s="1"/>
  <c r="L90" i="1"/>
  <c r="L89" i="1" s="1"/>
  <c r="K90" i="1"/>
  <c r="J90" i="1"/>
  <c r="J89" i="1" s="1"/>
  <c r="I91" i="1"/>
  <c r="I90" i="1"/>
  <c r="S69" i="1" l="1"/>
  <c r="S90" i="1"/>
  <c r="S91" i="1"/>
  <c r="K89" i="1"/>
  <c r="I89" i="1"/>
  <c r="G28" i="2"/>
  <c r="G16" i="2" s="1"/>
  <c r="H28" i="2"/>
  <c r="H16" i="2" s="1"/>
  <c r="K583" i="1"/>
  <c r="S583" i="1" s="1"/>
  <c r="M569" i="1"/>
  <c r="I28" i="2" s="1"/>
  <c r="I16" i="2" s="1"/>
  <c r="M166" i="1"/>
  <c r="L166" i="1"/>
  <c r="K166" i="1"/>
  <c r="J166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M53" i="1" s="1"/>
  <c r="L159" i="1"/>
  <c r="L53" i="1" s="1"/>
  <c r="K159" i="1"/>
  <c r="K53" i="1" s="1"/>
  <c r="J159" i="1"/>
  <c r="I166" i="1"/>
  <c r="I162" i="1"/>
  <c r="S89" i="1" l="1"/>
  <c r="S162" i="1"/>
  <c r="S161" i="1"/>
  <c r="S159" i="1"/>
  <c r="S160" i="1"/>
  <c r="S166" i="1"/>
  <c r="J107" i="1"/>
  <c r="K581" i="1"/>
  <c r="I51" i="1"/>
  <c r="I52" i="1"/>
  <c r="S52" i="1" s="1"/>
  <c r="J53" i="1"/>
  <c r="I70" i="1"/>
  <c r="S70" i="1" s="1"/>
  <c r="I53" i="1"/>
  <c r="M158" i="1"/>
  <c r="K158" i="1"/>
  <c r="J158" i="1"/>
  <c r="L158" i="1"/>
  <c r="I158" i="1"/>
  <c r="S158" i="1" l="1"/>
  <c r="S53" i="1"/>
  <c r="K579" i="1"/>
  <c r="S579" i="1" s="1"/>
  <c r="S581" i="1"/>
  <c r="I38" i="1"/>
  <c r="S38" i="1" s="1"/>
  <c r="I26" i="1" l="1"/>
  <c r="S26" i="1" s="1"/>
  <c r="K577" i="1"/>
  <c r="S577" i="1" s="1"/>
  <c r="K148" i="1"/>
  <c r="K575" i="1" l="1"/>
  <c r="S575" i="1" s="1"/>
  <c r="K574" i="1"/>
  <c r="S574" i="1" s="1"/>
  <c r="I551" i="1"/>
  <c r="K556" i="1"/>
  <c r="L556" i="1"/>
  <c r="L521" i="1" s="1"/>
  <c r="M556" i="1"/>
  <c r="M521" i="1" s="1"/>
  <c r="I521" i="1"/>
  <c r="J555" i="1"/>
  <c r="K555" i="1"/>
  <c r="L555" i="1"/>
  <c r="M555" i="1"/>
  <c r="I103" i="1"/>
  <c r="S556" i="1" l="1"/>
  <c r="S555" i="1"/>
  <c r="K572" i="1"/>
  <c r="S572" i="1" s="1"/>
  <c r="K521" i="1"/>
  <c r="S521" i="1" s="1"/>
  <c r="I14" i="1"/>
  <c r="J522" i="1"/>
  <c r="S522" i="1" s="1"/>
  <c r="K571" i="1" l="1"/>
  <c r="S571" i="1" s="1"/>
  <c r="J15" i="1"/>
  <c r="S15" i="1" s="1"/>
  <c r="L551" i="1"/>
  <c r="L529" i="1" s="1"/>
  <c r="J551" i="1"/>
  <c r="M551" i="1"/>
  <c r="M529" i="1" s="1"/>
  <c r="K551" i="1"/>
  <c r="K529" i="1" s="1"/>
  <c r="K569" i="1" l="1"/>
  <c r="S569" i="1" s="1"/>
  <c r="S551" i="1"/>
  <c r="J529" i="1"/>
  <c r="M724" i="1"/>
  <c r="M723" i="1" s="1"/>
  <c r="H50" i="2" s="1"/>
  <c r="C50" i="2" s="1"/>
  <c r="L724" i="1"/>
  <c r="L723" i="1" s="1"/>
  <c r="K724" i="1"/>
  <c r="K723" i="1" s="1"/>
  <c r="I724" i="1"/>
  <c r="S724" i="1" l="1"/>
  <c r="F28" i="2"/>
  <c r="F16" i="2" s="1"/>
  <c r="H48" i="2"/>
  <c r="C48" i="2" s="1"/>
  <c r="I703" i="1"/>
  <c r="I723" i="1"/>
  <c r="S723" i="1" s="1"/>
  <c r="J543" i="1"/>
  <c r="I550" i="1"/>
  <c r="S550" i="1" s="1"/>
  <c r="I544" i="1"/>
  <c r="S544" i="1" l="1"/>
  <c r="I704" i="1"/>
  <c r="C28" i="2"/>
  <c r="I702" i="1"/>
  <c r="S530" i="1"/>
  <c r="I549" i="1"/>
  <c r="I563" i="1"/>
  <c r="CA213" i="1" l="1"/>
  <c r="I529" i="1"/>
  <c r="I528" i="1" s="1"/>
  <c r="I81" i="1"/>
  <c r="S529" i="1" l="1"/>
  <c r="I526" i="1"/>
  <c r="I42" i="1"/>
  <c r="M563" i="1"/>
  <c r="L563" i="1"/>
  <c r="K563" i="1"/>
  <c r="J563" i="1"/>
  <c r="I561" i="1"/>
  <c r="S563" i="1" l="1"/>
  <c r="M528" i="1"/>
  <c r="L528" i="1"/>
  <c r="H27" i="2" s="1"/>
  <c r="H15" i="2" s="1"/>
  <c r="K528" i="1"/>
  <c r="J528" i="1"/>
  <c r="S528" i="1" l="1"/>
  <c r="E27" i="2"/>
  <c r="E15" i="2" s="1"/>
  <c r="F27" i="2"/>
  <c r="G27" i="2"/>
  <c r="I27" i="2"/>
  <c r="I15" i="2" s="1"/>
  <c r="I524" i="1" l="1"/>
  <c r="D27" i="2"/>
  <c r="C27" i="2" s="1"/>
  <c r="M97" i="1"/>
  <c r="L97" i="1"/>
  <c r="K97" i="1"/>
  <c r="J97" i="1"/>
  <c r="M96" i="1"/>
  <c r="L96" i="1"/>
  <c r="L95" i="1" s="1"/>
  <c r="K96" i="1"/>
  <c r="J96" i="1"/>
  <c r="I97" i="1"/>
  <c r="I96" i="1"/>
  <c r="M94" i="1"/>
  <c r="L94" i="1"/>
  <c r="K94" i="1"/>
  <c r="J94" i="1"/>
  <c r="M93" i="1"/>
  <c r="L93" i="1"/>
  <c r="K93" i="1"/>
  <c r="J93" i="1"/>
  <c r="I94" i="1"/>
  <c r="I93" i="1"/>
  <c r="M88" i="1"/>
  <c r="L88" i="1"/>
  <c r="K88" i="1"/>
  <c r="J88" i="1"/>
  <c r="M87" i="1"/>
  <c r="L87" i="1"/>
  <c r="K87" i="1"/>
  <c r="J87" i="1"/>
  <c r="I88" i="1"/>
  <c r="I87" i="1"/>
  <c r="M85" i="1"/>
  <c r="L85" i="1"/>
  <c r="K85" i="1"/>
  <c r="J85" i="1"/>
  <c r="I85" i="1"/>
  <c r="S85" i="1" s="1"/>
  <c r="M84" i="1"/>
  <c r="L84" i="1"/>
  <c r="K84" i="1"/>
  <c r="J84" i="1"/>
  <c r="M83" i="1"/>
  <c r="L83" i="1"/>
  <c r="K83" i="1"/>
  <c r="J83" i="1"/>
  <c r="J82" i="1" s="1"/>
  <c r="I84" i="1"/>
  <c r="I83" i="1"/>
  <c r="S83" i="1" s="1"/>
  <c r="S88" i="1" l="1"/>
  <c r="M86" i="1"/>
  <c r="L82" i="1"/>
  <c r="J92" i="1"/>
  <c r="M92" i="1"/>
  <c r="S97" i="1"/>
  <c r="I92" i="1"/>
  <c r="S87" i="1"/>
  <c r="I86" i="1"/>
  <c r="S96" i="1"/>
  <c r="S84" i="1"/>
  <c r="S93" i="1"/>
  <c r="S94" i="1"/>
  <c r="M95" i="1"/>
  <c r="K92" i="1"/>
  <c r="K86" i="1"/>
  <c r="L86" i="1"/>
  <c r="J86" i="1"/>
  <c r="K95" i="1"/>
  <c r="I95" i="1"/>
  <c r="J95" i="1"/>
  <c r="L92" i="1"/>
  <c r="M82" i="1"/>
  <c r="K82" i="1"/>
  <c r="I82" i="1"/>
  <c r="I554" i="1"/>
  <c r="S221" i="1"/>
  <c r="J554" i="1"/>
  <c r="J553" i="1" s="1"/>
  <c r="M81" i="1"/>
  <c r="L81" i="1"/>
  <c r="K81" i="1"/>
  <c r="J81" i="1"/>
  <c r="M80" i="1"/>
  <c r="L80" i="1"/>
  <c r="K80" i="1"/>
  <c r="J80" i="1"/>
  <c r="I80" i="1"/>
  <c r="M76" i="1"/>
  <c r="L76" i="1"/>
  <c r="K76" i="1"/>
  <c r="M75" i="1"/>
  <c r="L75" i="1"/>
  <c r="K75" i="1"/>
  <c r="M73" i="1"/>
  <c r="L73" i="1"/>
  <c r="K73" i="1"/>
  <c r="J73" i="1"/>
  <c r="M72" i="1"/>
  <c r="M71" i="1" s="1"/>
  <c r="L72" i="1"/>
  <c r="K72" i="1"/>
  <c r="J72" i="1"/>
  <c r="M68" i="1"/>
  <c r="L68" i="1"/>
  <c r="K68" i="1"/>
  <c r="J68" i="1"/>
  <c r="M67" i="1"/>
  <c r="L67" i="1"/>
  <c r="K67" i="1"/>
  <c r="J67" i="1"/>
  <c r="I67" i="1"/>
  <c r="I66" i="1" s="1"/>
  <c r="M65" i="1"/>
  <c r="L65" i="1"/>
  <c r="K65" i="1"/>
  <c r="J65" i="1"/>
  <c r="M64" i="1"/>
  <c r="L64" i="1"/>
  <c r="K64" i="1"/>
  <c r="J64" i="1"/>
  <c r="M63" i="1"/>
  <c r="L63" i="1"/>
  <c r="L62" i="1" s="1"/>
  <c r="K63" i="1"/>
  <c r="K62" i="1" s="1"/>
  <c r="J63" i="1"/>
  <c r="J62" i="1" s="1"/>
  <c r="M61" i="1"/>
  <c r="L61" i="1"/>
  <c r="K61" i="1"/>
  <c r="J61" i="1"/>
  <c r="S65" i="1" l="1"/>
  <c r="S81" i="1"/>
  <c r="S92" i="1"/>
  <c r="S95" i="1"/>
  <c r="S82" i="1"/>
  <c r="S86" i="1"/>
  <c r="J66" i="1"/>
  <c r="S68" i="1"/>
  <c r="S72" i="1"/>
  <c r="S73" i="1"/>
  <c r="S80" i="1"/>
  <c r="S67" i="1"/>
  <c r="S76" i="1"/>
  <c r="L71" i="1"/>
  <c r="M62" i="1"/>
  <c r="L66" i="1"/>
  <c r="I553" i="1"/>
  <c r="I79" i="1"/>
  <c r="J71" i="1"/>
  <c r="K66" i="1"/>
  <c r="M66" i="1"/>
  <c r="K71" i="1"/>
  <c r="M74" i="1"/>
  <c r="K74" i="1"/>
  <c r="L74" i="1"/>
  <c r="I64" i="1"/>
  <c r="S64" i="1" s="1"/>
  <c r="I63" i="1"/>
  <c r="S63" i="1" s="1"/>
  <c r="I61" i="1"/>
  <c r="S61" i="1" s="1"/>
  <c r="S66" i="1" l="1"/>
  <c r="S71" i="1"/>
  <c r="I45" i="1"/>
  <c r="J59" i="1"/>
  <c r="I62" i="1"/>
  <c r="S62" i="1" s="1"/>
  <c r="M190" i="1"/>
  <c r="L190" i="1"/>
  <c r="K190" i="1"/>
  <c r="J190" i="1"/>
  <c r="I190" i="1"/>
  <c r="M186" i="1"/>
  <c r="L186" i="1"/>
  <c r="K186" i="1"/>
  <c r="J186" i="1"/>
  <c r="I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78" i="1"/>
  <c r="L178" i="1"/>
  <c r="K178" i="1"/>
  <c r="I178" i="1"/>
  <c r="M174" i="1"/>
  <c r="L174" i="1"/>
  <c r="K174" i="1"/>
  <c r="J174" i="1"/>
  <c r="I174" i="1"/>
  <c r="M173" i="1"/>
  <c r="L173" i="1"/>
  <c r="M172" i="1"/>
  <c r="L172" i="1"/>
  <c r="K172" i="1"/>
  <c r="J172" i="1"/>
  <c r="M171" i="1"/>
  <c r="M55" i="1" s="1"/>
  <c r="L171" i="1"/>
  <c r="L55" i="1" s="1"/>
  <c r="K171" i="1"/>
  <c r="K55" i="1" s="1"/>
  <c r="J171" i="1"/>
  <c r="I154" i="1"/>
  <c r="M154" i="1"/>
  <c r="L154" i="1"/>
  <c r="K154" i="1"/>
  <c r="M150" i="1"/>
  <c r="L150" i="1"/>
  <c r="K150" i="1"/>
  <c r="J150" i="1"/>
  <c r="I150" i="1"/>
  <c r="CA118" i="1"/>
  <c r="M148" i="1"/>
  <c r="L148" i="1"/>
  <c r="J148" i="1"/>
  <c r="M147" i="1"/>
  <c r="M51" i="1" s="1"/>
  <c r="L147" i="1"/>
  <c r="L51" i="1" s="1"/>
  <c r="K147" i="1"/>
  <c r="J147" i="1"/>
  <c r="M142" i="1"/>
  <c r="L142" i="1"/>
  <c r="K142" i="1"/>
  <c r="J142" i="1"/>
  <c r="I142" i="1"/>
  <c r="I138" i="1"/>
  <c r="M138" i="1"/>
  <c r="L138" i="1"/>
  <c r="K138" i="1"/>
  <c r="J138" i="1"/>
  <c r="M134" i="1"/>
  <c r="L134" i="1"/>
  <c r="K134" i="1"/>
  <c r="J134" i="1"/>
  <c r="I134" i="1"/>
  <c r="M132" i="1"/>
  <c r="L132" i="1"/>
  <c r="K132" i="1"/>
  <c r="M131" i="1"/>
  <c r="L131" i="1"/>
  <c r="K131" i="1"/>
  <c r="J131" i="1"/>
  <c r="M126" i="1"/>
  <c r="L126" i="1"/>
  <c r="K126" i="1"/>
  <c r="J126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L46" i="1" s="1"/>
  <c r="K119" i="1"/>
  <c r="K46" i="1" s="1"/>
  <c r="J119" i="1"/>
  <c r="J46" i="1" s="1"/>
  <c r="I121" i="1"/>
  <c r="I120" i="1"/>
  <c r="I119" i="1"/>
  <c r="I126" i="1"/>
  <c r="I122" i="1"/>
  <c r="S150" i="1" l="1"/>
  <c r="S154" i="1"/>
  <c r="S178" i="1"/>
  <c r="S186" i="1"/>
  <c r="S131" i="1"/>
  <c r="S132" i="1"/>
  <c r="S172" i="1"/>
  <c r="S147" i="1"/>
  <c r="S184" i="1"/>
  <c r="S171" i="1"/>
  <c r="S173" i="1"/>
  <c r="S148" i="1"/>
  <c r="S183" i="1"/>
  <c r="S185" i="1"/>
  <c r="S120" i="1"/>
  <c r="S119" i="1"/>
  <c r="S142" i="1"/>
  <c r="S174" i="1"/>
  <c r="J109" i="1"/>
  <c r="I34" i="1"/>
  <c r="S34" i="1" s="1"/>
  <c r="S45" i="1"/>
  <c r="S122" i="1"/>
  <c r="S121" i="1"/>
  <c r="S134" i="1"/>
  <c r="J55" i="1"/>
  <c r="S190" i="1"/>
  <c r="S126" i="1"/>
  <c r="S138" i="1"/>
  <c r="I117" i="1"/>
  <c r="I182" i="1"/>
  <c r="I47" i="1"/>
  <c r="S47" i="1" s="1"/>
  <c r="I48" i="1"/>
  <c r="S48" i="1" s="1"/>
  <c r="I49" i="1"/>
  <c r="S49" i="1" s="1"/>
  <c r="I50" i="1"/>
  <c r="S50" i="1" s="1"/>
  <c r="I55" i="1"/>
  <c r="I75" i="1"/>
  <c r="S75" i="1" s="1"/>
  <c r="I56" i="1"/>
  <c r="S56" i="1" s="1"/>
  <c r="I46" i="1"/>
  <c r="K146" i="1"/>
  <c r="K25" i="1" s="1"/>
  <c r="K51" i="1"/>
  <c r="M118" i="1"/>
  <c r="M46" i="1"/>
  <c r="J146" i="1"/>
  <c r="J51" i="1"/>
  <c r="J118" i="1"/>
  <c r="J117" i="1"/>
  <c r="K182" i="1"/>
  <c r="M182" i="1"/>
  <c r="L117" i="1"/>
  <c r="M130" i="1"/>
  <c r="L146" i="1"/>
  <c r="K115" i="1"/>
  <c r="M115" i="1"/>
  <c r="M116" i="1"/>
  <c r="K117" i="1"/>
  <c r="M117" i="1"/>
  <c r="K170" i="1"/>
  <c r="M170" i="1"/>
  <c r="M146" i="1"/>
  <c r="I115" i="1"/>
  <c r="J115" i="1"/>
  <c r="J116" i="1"/>
  <c r="L116" i="1"/>
  <c r="I170" i="1"/>
  <c r="J182" i="1"/>
  <c r="I104" i="1"/>
  <c r="I40" i="1"/>
  <c r="S40" i="1" s="1"/>
  <c r="L182" i="1"/>
  <c r="K130" i="1"/>
  <c r="J170" i="1"/>
  <c r="L170" i="1"/>
  <c r="I116" i="1"/>
  <c r="K118" i="1"/>
  <c r="K116" i="1"/>
  <c r="I118" i="1"/>
  <c r="L118" i="1"/>
  <c r="L115" i="1"/>
  <c r="I146" i="1"/>
  <c r="J130" i="1"/>
  <c r="L130" i="1"/>
  <c r="I130" i="1"/>
  <c r="S51" i="1" l="1"/>
  <c r="S117" i="1"/>
  <c r="S170" i="1"/>
  <c r="S146" i="1"/>
  <c r="S115" i="1"/>
  <c r="S116" i="1"/>
  <c r="S130" i="1"/>
  <c r="S46" i="1"/>
  <c r="S182" i="1"/>
  <c r="I22" i="1"/>
  <c r="S22" i="1" s="1"/>
  <c r="S118" i="1"/>
  <c r="S55" i="1"/>
  <c r="I28" i="1"/>
  <c r="S28" i="1" s="1"/>
  <c r="K21" i="1"/>
  <c r="I36" i="1"/>
  <c r="S36" i="1" s="1"/>
  <c r="I77" i="1"/>
  <c r="I35" i="1"/>
  <c r="S35" i="1" s="1"/>
  <c r="I98" i="1"/>
  <c r="I74" i="1"/>
  <c r="S74" i="1" s="1"/>
  <c r="I37" i="1"/>
  <c r="S37" i="1" s="1"/>
  <c r="I43" i="1"/>
  <c r="I39" i="1"/>
  <c r="S39" i="1" s="1"/>
  <c r="I57" i="1"/>
  <c r="J43" i="1"/>
  <c r="CB110" i="1"/>
  <c r="I114" i="1"/>
  <c r="CB111" i="1"/>
  <c r="J21" i="1"/>
  <c r="I27" i="1" l="1"/>
  <c r="S27" i="1" s="1"/>
  <c r="I24" i="1"/>
  <c r="S24" i="1" s="1"/>
  <c r="I25" i="1"/>
  <c r="S25" i="1" s="1"/>
  <c r="I23" i="1"/>
  <c r="S23" i="1" s="1"/>
  <c r="I59" i="1"/>
  <c r="D22" i="2"/>
  <c r="C22" i="2" s="1"/>
  <c r="I33" i="1"/>
  <c r="S33" i="1" s="1"/>
  <c r="CB112" i="1"/>
  <c r="I17" i="2"/>
  <c r="C17" i="2" s="1"/>
  <c r="I601" i="1"/>
  <c r="S601" i="1" s="1"/>
  <c r="I16" i="1" l="1"/>
  <c r="I21" i="1"/>
  <c r="J599" i="1"/>
  <c r="I622" i="1"/>
  <c r="S622" i="1" s="1"/>
  <c r="I599" i="1" l="1"/>
  <c r="S599" i="1" s="1"/>
  <c r="E32" i="2"/>
  <c r="J598" i="1"/>
  <c r="K109" i="1"/>
  <c r="L109" i="1"/>
  <c r="M109" i="1"/>
  <c r="J103" i="1"/>
  <c r="K103" i="1"/>
  <c r="L103" i="1"/>
  <c r="M103" i="1"/>
  <c r="S109" i="1" l="1"/>
  <c r="S103" i="1"/>
  <c r="I598" i="1"/>
  <c r="D32" i="2"/>
  <c r="G38" i="2"/>
  <c r="G36" i="2" s="1"/>
  <c r="I38" i="2"/>
  <c r="I36" i="2" s="1"/>
  <c r="L703" i="1"/>
  <c r="M703" i="1"/>
  <c r="K602" i="1"/>
  <c r="L602" i="1"/>
  <c r="M602" i="1"/>
  <c r="H32" i="2" s="1"/>
  <c r="K561" i="1"/>
  <c r="L561" i="1"/>
  <c r="M561" i="1"/>
  <c r="I559" i="1"/>
  <c r="S559" i="1" s="1"/>
  <c r="J549" i="1"/>
  <c r="K549" i="1"/>
  <c r="L549" i="1"/>
  <c r="M549" i="1"/>
  <c r="J545" i="1"/>
  <c r="I545" i="1"/>
  <c r="M545" i="1"/>
  <c r="L545" i="1"/>
  <c r="K545" i="1"/>
  <c r="K543" i="1"/>
  <c r="L543" i="1"/>
  <c r="M543" i="1"/>
  <c r="I543" i="1"/>
  <c r="L540" i="1"/>
  <c r="M540" i="1"/>
  <c r="K534" i="1"/>
  <c r="K533" i="1" s="1"/>
  <c r="L534" i="1"/>
  <c r="L533" i="1" s="1"/>
  <c r="M534" i="1"/>
  <c r="M533" i="1" s="1"/>
  <c r="K536" i="1"/>
  <c r="L536" i="1"/>
  <c r="M536" i="1"/>
  <c r="K537" i="1"/>
  <c r="S537" i="1" s="1"/>
  <c r="L537" i="1"/>
  <c r="M537" i="1"/>
  <c r="K526" i="1"/>
  <c r="L526" i="1"/>
  <c r="M526" i="1"/>
  <c r="M77" i="1"/>
  <c r="M108" i="1"/>
  <c r="M44" i="1" s="1"/>
  <c r="M43" i="1" s="1"/>
  <c r="M98" i="1"/>
  <c r="L110" i="1"/>
  <c r="M110" i="1"/>
  <c r="K110" i="1"/>
  <c r="L106" i="1"/>
  <c r="M106" i="1"/>
  <c r="L107" i="1"/>
  <c r="M107" i="1"/>
  <c r="L108" i="1"/>
  <c r="L44" i="1" s="1"/>
  <c r="L43" i="1" s="1"/>
  <c r="L104" i="1"/>
  <c r="M104" i="1"/>
  <c r="L105" i="1"/>
  <c r="M105" i="1"/>
  <c r="L99" i="1"/>
  <c r="M99" i="1"/>
  <c r="L79" i="1"/>
  <c r="M79" i="1"/>
  <c r="L78" i="1"/>
  <c r="M78" i="1"/>
  <c r="L59" i="1"/>
  <c r="M59" i="1"/>
  <c r="L58" i="1"/>
  <c r="M58" i="1"/>
  <c r="M57" i="1"/>
  <c r="I107" i="1"/>
  <c r="S602" i="1" l="1"/>
  <c r="L42" i="1"/>
  <c r="S110" i="1"/>
  <c r="S543" i="1"/>
  <c r="S545" i="1"/>
  <c r="S536" i="1"/>
  <c r="S549" i="1"/>
  <c r="S561" i="1"/>
  <c r="M42" i="1"/>
  <c r="M704" i="1"/>
  <c r="D30" i="2"/>
  <c r="M41" i="1"/>
  <c r="L598" i="1"/>
  <c r="G32" i="2"/>
  <c r="G30" i="2" s="1"/>
  <c r="M598" i="1"/>
  <c r="L704" i="1"/>
  <c r="F32" i="2"/>
  <c r="K598" i="1"/>
  <c r="S523" i="1"/>
  <c r="CB213" i="1"/>
  <c r="CB215" i="1" s="1"/>
  <c r="I30" i="2"/>
  <c r="L702" i="1"/>
  <c r="L17" i="1"/>
  <c r="M17" i="1"/>
  <c r="M535" i="1"/>
  <c r="L535" i="1"/>
  <c r="K535" i="1"/>
  <c r="L539" i="1"/>
  <c r="M539" i="1"/>
  <c r="M524" i="1"/>
  <c r="M14" i="1"/>
  <c r="L538" i="1"/>
  <c r="L14" i="1"/>
  <c r="M102" i="1"/>
  <c r="M114" i="1"/>
  <c r="L558" i="1"/>
  <c r="L554" i="1" s="1"/>
  <c r="M558" i="1"/>
  <c r="M554" i="1" s="1"/>
  <c r="L102" i="1"/>
  <c r="L98" i="1"/>
  <c r="L77" i="1"/>
  <c r="E38" i="2"/>
  <c r="E36" i="2" s="1"/>
  <c r="F38" i="2"/>
  <c r="F36" i="2" s="1"/>
  <c r="D38" i="2"/>
  <c r="S598" i="1" l="1"/>
  <c r="S14" i="1"/>
  <c r="C32" i="2"/>
  <c r="AQ598" i="1"/>
  <c r="C38" i="2"/>
  <c r="S535" i="1"/>
  <c r="H30" i="2"/>
  <c r="I42" i="2"/>
  <c r="H42" i="2"/>
  <c r="G44" i="2"/>
  <c r="G42" i="2" s="1"/>
  <c r="M20" i="1"/>
  <c r="M553" i="1"/>
  <c r="L553" i="1"/>
  <c r="M538" i="1"/>
  <c r="L524" i="1"/>
  <c r="M525" i="1"/>
  <c r="M520" i="1" s="1"/>
  <c r="M12" i="1" s="1"/>
  <c r="L525" i="1"/>
  <c r="L520" i="1" s="1"/>
  <c r="L12" i="1" s="1"/>
  <c r="M21" i="1"/>
  <c r="S21" i="1" s="1"/>
  <c r="L527" i="1"/>
  <c r="D36" i="2"/>
  <c r="C36" i="2" s="1"/>
  <c r="L114" i="1"/>
  <c r="L57" i="1"/>
  <c r="L41" i="1" s="1"/>
  <c r="F30" i="2"/>
  <c r="E30" i="2"/>
  <c r="I542" i="1"/>
  <c r="S542" i="1" s="1"/>
  <c r="J703" i="1"/>
  <c r="C30" i="2" l="1"/>
  <c r="M11" i="1"/>
  <c r="J704" i="1"/>
  <c r="G26" i="2"/>
  <c r="H26" i="2"/>
  <c r="H14" i="2" s="1"/>
  <c r="H12" i="2" s="1"/>
  <c r="L20" i="1"/>
  <c r="L11" i="1" s="1"/>
  <c r="AU24" i="1"/>
  <c r="CB24" i="1" s="1"/>
  <c r="AU25" i="1"/>
  <c r="CB25" i="1" s="1"/>
  <c r="AU22" i="1"/>
  <c r="CB22" i="1" s="1"/>
  <c r="AU26" i="1"/>
  <c r="CB26" i="1" s="1"/>
  <c r="AU23" i="1"/>
  <c r="CB23" i="1" s="1"/>
  <c r="AU27" i="1"/>
  <c r="CB27" i="1" s="1"/>
  <c r="AU28" i="1"/>
  <c r="CB28" i="1" s="1"/>
  <c r="L519" i="1"/>
  <c r="M519" i="1"/>
  <c r="K558" i="1"/>
  <c r="S558" i="1" s="1"/>
  <c r="I540" i="1"/>
  <c r="M527" i="1"/>
  <c r="I26" i="2" s="1"/>
  <c r="I14" i="2" s="1"/>
  <c r="I12" i="2" l="1"/>
  <c r="G24" i="2"/>
  <c r="G14" i="2"/>
  <c r="I539" i="1"/>
  <c r="H24" i="2"/>
  <c r="I533" i="1"/>
  <c r="K554" i="1"/>
  <c r="S554" i="1" s="1"/>
  <c r="I24" i="2"/>
  <c r="K703" i="1"/>
  <c r="S703" i="1" s="1"/>
  <c r="I527" i="1" l="1"/>
  <c r="I525" i="1" s="1"/>
  <c r="S198" i="1"/>
  <c r="K553" i="1"/>
  <c r="S553" i="1" s="1"/>
  <c r="K702" i="1"/>
  <c r="K704" i="1"/>
  <c r="S704" i="1" s="1"/>
  <c r="J702" i="1"/>
  <c r="S702" i="1" s="1"/>
  <c r="CA34" i="1"/>
  <c r="J540" i="1"/>
  <c r="J534" i="1"/>
  <c r="S534" i="1" s="1"/>
  <c r="J16" i="1"/>
  <c r="S16" i="1" s="1"/>
  <c r="J98" i="1"/>
  <c r="J77" i="1"/>
  <c r="J114" i="1"/>
  <c r="J105" i="1"/>
  <c r="I105" i="1"/>
  <c r="J99" i="1"/>
  <c r="S99" i="1" s="1"/>
  <c r="J79" i="1"/>
  <c r="J78" i="1"/>
  <c r="J58" i="1"/>
  <c r="K108" i="1"/>
  <c r="S108" i="1" s="1"/>
  <c r="K107" i="1"/>
  <c r="S107" i="1" s="1"/>
  <c r="K106" i="1"/>
  <c r="K105" i="1"/>
  <c r="K104" i="1"/>
  <c r="S104" i="1" s="1"/>
  <c r="K99" i="1"/>
  <c r="K78" i="1"/>
  <c r="K58" i="1"/>
  <c r="BJ559" i="1"/>
  <c r="K540" i="1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V190" i="1"/>
  <c r="AV181" i="1"/>
  <c r="AV157" i="1"/>
  <c r="AV156" i="1"/>
  <c r="AV154" i="1"/>
  <c r="AV141" i="1"/>
  <c r="AV138" i="1"/>
  <c r="AV129" i="1"/>
  <c r="K98" i="1"/>
  <c r="K77" i="1"/>
  <c r="K57" i="1"/>
  <c r="J169" i="7"/>
  <c r="J86" i="7"/>
  <c r="J75" i="7"/>
  <c r="J87" i="7"/>
  <c r="AI30" i="1"/>
  <c r="AI29" i="1" s="1"/>
  <c r="AH30" i="1"/>
  <c r="AH29" i="1" s="1"/>
  <c r="J70" i="7"/>
  <c r="J89" i="7"/>
  <c r="J124" i="7"/>
  <c r="J141" i="7" s="1"/>
  <c r="J94" i="7"/>
  <c r="J189" i="7"/>
  <c r="J92" i="7"/>
  <c r="J40" i="7"/>
  <c r="J39" i="7"/>
  <c r="AG182" i="1"/>
  <c r="AJ182" i="1" s="1"/>
  <c r="AG39" i="1"/>
  <c r="AJ39" i="1" s="1"/>
  <c r="AG38" i="1"/>
  <c r="AJ38" i="1" s="1"/>
  <c r="AG118" i="1"/>
  <c r="AJ118" i="1" s="1"/>
  <c r="AI114" i="1"/>
  <c r="AH114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I33" i="1" s="1"/>
  <c r="AH34" i="1"/>
  <c r="AH33" i="1" s="1"/>
  <c r="J121" i="7"/>
  <c r="J120" i="7"/>
  <c r="J117" i="7"/>
  <c r="J116" i="7"/>
  <c r="J115" i="7"/>
  <c r="J51" i="7"/>
  <c r="AG27" i="1"/>
  <c r="AJ27" i="1" s="1"/>
  <c r="AH27" i="1"/>
  <c r="A13" i="2"/>
  <c r="A14" i="2" s="1"/>
  <c r="A15" i="2" s="1"/>
  <c r="A16" i="2" s="1"/>
  <c r="A17" i="2" s="1"/>
  <c r="I187" i="7"/>
  <c r="H187" i="7"/>
  <c r="I141" i="7"/>
  <c r="H141" i="7"/>
  <c r="I140" i="7"/>
  <c r="H140" i="7"/>
  <c r="I139" i="7"/>
  <c r="H139" i="7"/>
  <c r="I138" i="7"/>
  <c r="H138" i="7"/>
  <c r="I135" i="7"/>
  <c r="H135" i="7"/>
  <c r="I90" i="7"/>
  <c r="I66" i="7" s="1"/>
  <c r="H90" i="7"/>
  <c r="H78" i="7"/>
  <c r="I78" i="7"/>
  <c r="J84" i="7"/>
  <c r="I76" i="7"/>
  <c r="H76" i="7"/>
  <c r="J30" i="7"/>
  <c r="J62" i="7"/>
  <c r="H161" i="7"/>
  <c r="H61" i="7"/>
  <c r="H123" i="7"/>
  <c r="H184" i="7"/>
  <c r="H136" i="7" s="1"/>
  <c r="H181" i="7"/>
  <c r="H137" i="7" s="1"/>
  <c r="H109" i="7"/>
  <c r="H21" i="7"/>
  <c r="H199" i="7"/>
  <c r="I190" i="7"/>
  <c r="I184" i="7"/>
  <c r="I136" i="7" s="1"/>
  <c r="I133" i="7" s="1"/>
  <c r="I181" i="7"/>
  <c r="I137" i="7"/>
  <c r="I161" i="7"/>
  <c r="I123" i="7"/>
  <c r="I67" i="7"/>
  <c r="I9" i="7"/>
  <c r="J67" i="7"/>
  <c r="J9" i="7" s="1"/>
  <c r="H67" i="7"/>
  <c r="H9" i="7" s="1"/>
  <c r="H22" i="7"/>
  <c r="I22" i="7"/>
  <c r="J47" i="7"/>
  <c r="J44" i="7"/>
  <c r="J41" i="7"/>
  <c r="J42" i="7"/>
  <c r="J45" i="7"/>
  <c r="J48" i="7"/>
  <c r="J49" i="7"/>
  <c r="J50" i="7"/>
  <c r="J52" i="7"/>
  <c r="J53" i="7"/>
  <c r="J54" i="7"/>
  <c r="J55" i="7"/>
  <c r="J56" i="7"/>
  <c r="J57" i="7"/>
  <c r="J58" i="7"/>
  <c r="J59" i="7"/>
  <c r="J95" i="7"/>
  <c r="J96" i="7"/>
  <c r="J97" i="7"/>
  <c r="J99" i="7"/>
  <c r="J100" i="7"/>
  <c r="J103" i="7"/>
  <c r="J104" i="7"/>
  <c r="J105" i="7"/>
  <c r="J106" i="7"/>
  <c r="J107" i="7"/>
  <c r="J108" i="7"/>
  <c r="J126" i="7"/>
  <c r="J127" i="7"/>
  <c r="J128" i="7"/>
  <c r="J130" i="7"/>
  <c r="J131" i="7"/>
  <c r="J132" i="7"/>
  <c r="J162" i="7"/>
  <c r="J163" i="7"/>
  <c r="J164" i="7"/>
  <c r="J166" i="7"/>
  <c r="J167" i="7"/>
  <c r="J168" i="7"/>
  <c r="J170" i="7"/>
  <c r="J171" i="7"/>
  <c r="J172" i="7"/>
  <c r="J174" i="7"/>
  <c r="J175" i="7"/>
  <c r="J176" i="7"/>
  <c r="J177" i="7"/>
  <c r="J178" i="7"/>
  <c r="J179" i="7"/>
  <c r="J180" i="7"/>
  <c r="J182" i="7"/>
  <c r="J183" i="7"/>
  <c r="J185" i="7"/>
  <c r="J186" i="7"/>
  <c r="J188" i="7"/>
  <c r="J191" i="7"/>
  <c r="J193" i="7"/>
  <c r="J194" i="7"/>
  <c r="J195" i="7"/>
  <c r="J201" i="7"/>
  <c r="J202" i="7"/>
  <c r="J207" i="7"/>
  <c r="J208" i="7"/>
  <c r="J209" i="7"/>
  <c r="J210" i="7"/>
  <c r="J211" i="7"/>
  <c r="J212" i="7"/>
  <c r="J214" i="7"/>
  <c r="H206" i="7"/>
  <c r="I199" i="7"/>
  <c r="H121" i="7"/>
  <c r="H120" i="7"/>
  <c r="H119" i="7"/>
  <c r="H118" i="7"/>
  <c r="H117" i="7"/>
  <c r="H116" i="7"/>
  <c r="H115" i="7"/>
  <c r="I113" i="7"/>
  <c r="H113" i="7"/>
  <c r="I112" i="7"/>
  <c r="I11" i="7"/>
  <c r="H112" i="7"/>
  <c r="H11" i="7" s="1"/>
  <c r="I68" i="7"/>
  <c r="I75" i="7"/>
  <c r="H75" i="7"/>
  <c r="I74" i="7"/>
  <c r="H74" i="7"/>
  <c r="I73" i="7"/>
  <c r="H73" i="7"/>
  <c r="I72" i="7"/>
  <c r="H72" i="7"/>
  <c r="I71" i="7"/>
  <c r="H71" i="7"/>
  <c r="I70" i="7"/>
  <c r="H70" i="7"/>
  <c r="I69" i="7"/>
  <c r="H69" i="7"/>
  <c r="H68" i="7"/>
  <c r="I21" i="7"/>
  <c r="H36" i="7"/>
  <c r="H25" i="7" s="1"/>
  <c r="I29" i="7"/>
  <c r="H29" i="7"/>
  <c r="I28" i="7"/>
  <c r="H28" i="7"/>
  <c r="H18" i="7" s="1"/>
  <c r="I27" i="7"/>
  <c r="H27" i="7"/>
  <c r="I26" i="7"/>
  <c r="H26" i="7"/>
  <c r="I25" i="7"/>
  <c r="I24" i="7"/>
  <c r="H24" i="7"/>
  <c r="H14" i="7" s="1"/>
  <c r="I23" i="7"/>
  <c r="H23" i="7"/>
  <c r="J46" i="7"/>
  <c r="I111" i="7"/>
  <c r="I10" i="7"/>
  <c r="I120" i="7"/>
  <c r="I115" i="7"/>
  <c r="I116" i="7"/>
  <c r="H198" i="7"/>
  <c r="H197" i="7" s="1"/>
  <c r="I198" i="7"/>
  <c r="I197" i="7" s="1"/>
  <c r="I20" i="7"/>
  <c r="I14" i="7"/>
  <c r="H13" i="7"/>
  <c r="H114" i="7"/>
  <c r="I119" i="7"/>
  <c r="H203" i="7"/>
  <c r="H60" i="7"/>
  <c r="I61" i="7"/>
  <c r="I60" i="7" s="1"/>
  <c r="H16" i="7"/>
  <c r="I118" i="7"/>
  <c r="I121" i="7"/>
  <c r="H10" i="7"/>
  <c r="I203" i="7"/>
  <c r="H19" i="7"/>
  <c r="I117" i="7"/>
  <c r="I15" i="7" s="1"/>
  <c r="J206" i="7"/>
  <c r="I19" i="7"/>
  <c r="I114" i="7"/>
  <c r="J205" i="7"/>
  <c r="J204" i="7"/>
  <c r="J200" i="7"/>
  <c r="J161" i="7"/>
  <c r="J203" i="7"/>
  <c r="AG30" i="1"/>
  <c r="AJ30" i="1" s="1"/>
  <c r="AR21" i="1"/>
  <c r="J29" i="7"/>
  <c r="J165" i="7"/>
  <c r="J138" i="7" s="1"/>
  <c r="J122" i="7"/>
  <c r="J135" i="7" s="1"/>
  <c r="AV113" i="1"/>
  <c r="J173" i="7"/>
  <c r="J140" i="7" s="1"/>
  <c r="J125" i="7"/>
  <c r="J139" i="7" s="1"/>
  <c r="J74" i="7"/>
  <c r="J129" i="7"/>
  <c r="J38" i="7"/>
  <c r="J192" i="7"/>
  <c r="J35" i="7"/>
  <c r="J11" i="7"/>
  <c r="J43" i="7"/>
  <c r="AS21" i="1"/>
  <c r="J34" i="7"/>
  <c r="AH23" i="1"/>
  <c r="AI24" i="1"/>
  <c r="AI22" i="1"/>
  <c r="AI21" i="1" s="1"/>
  <c r="AI11" i="1" s="1"/>
  <c r="J25" i="7"/>
  <c r="AQ21" i="1"/>
  <c r="J10" i="7"/>
  <c r="J72" i="7"/>
  <c r="AI25" i="1"/>
  <c r="J71" i="7"/>
  <c r="J27" i="7"/>
  <c r="AG26" i="1"/>
  <c r="AJ26" i="1" s="1"/>
  <c r="J36" i="7"/>
  <c r="AG22" i="1"/>
  <c r="AJ22" i="1" s="1"/>
  <c r="J123" i="7"/>
  <c r="J118" i="7"/>
  <c r="J181" i="7"/>
  <c r="J137" i="7" s="1"/>
  <c r="AI27" i="1"/>
  <c r="AI26" i="1"/>
  <c r="AH26" i="1"/>
  <c r="AH28" i="1"/>
  <c r="BM8" i="1"/>
  <c r="BM11" i="1" s="1"/>
  <c r="J33" i="7"/>
  <c r="J111" i="7"/>
  <c r="J24" i="7"/>
  <c r="AH24" i="1"/>
  <c r="J113" i="7"/>
  <c r="J28" i="7"/>
  <c r="J119" i="7"/>
  <c r="J93" i="7"/>
  <c r="J112" i="7"/>
  <c r="AG25" i="1"/>
  <c r="AJ25" i="1" s="1"/>
  <c r="J37" i="7"/>
  <c r="AH22" i="1"/>
  <c r="AH21" i="1" s="1"/>
  <c r="AH11" i="1" s="1"/>
  <c r="J98" i="7"/>
  <c r="J184" i="7"/>
  <c r="J136" i="7" s="1"/>
  <c r="AI23" i="1"/>
  <c r="J114" i="7"/>
  <c r="BL8" i="1"/>
  <c r="BL11" i="1" s="1"/>
  <c r="AG23" i="1"/>
  <c r="AJ23" i="1" s="1"/>
  <c r="J160" i="7"/>
  <c r="AG28" i="1"/>
  <c r="AJ28" i="1" s="1"/>
  <c r="AI28" i="1"/>
  <c r="J198" i="7"/>
  <c r="AH25" i="1"/>
  <c r="J73" i="7"/>
  <c r="J90" i="7"/>
  <c r="J26" i="7"/>
  <c r="J63" i="7"/>
  <c r="AG24" i="1"/>
  <c r="AJ24" i="1" s="1"/>
  <c r="J199" i="7"/>
  <c r="J69" i="7"/>
  <c r="J23" i="7"/>
  <c r="BN8" i="1"/>
  <c r="BN11" i="1" s="1"/>
  <c r="J110" i="7"/>
  <c r="J68" i="7"/>
  <c r="J61" i="7"/>
  <c r="J197" i="7"/>
  <c r="J65" i="7"/>
  <c r="J8" i="7"/>
  <c r="J20" i="7"/>
  <c r="J60" i="7"/>
  <c r="AV193" i="1"/>
  <c r="AV126" i="1"/>
  <c r="AV178" i="1"/>
  <c r="AG36" i="1"/>
  <c r="AJ36" i="1" s="1"/>
  <c r="AG37" i="1"/>
  <c r="AJ37" i="1" s="1"/>
  <c r="AG34" i="1"/>
  <c r="AG33" i="1" s="1"/>
  <c r="AJ33" i="1" s="1"/>
  <c r="K524" i="1"/>
  <c r="S524" i="1" s="1"/>
  <c r="AV180" i="1"/>
  <c r="AV140" i="1"/>
  <c r="AV128" i="1"/>
  <c r="AV192" i="1"/>
  <c r="K114" i="1"/>
  <c r="S105" i="1" l="1"/>
  <c r="S58" i="1"/>
  <c r="S78" i="1"/>
  <c r="S114" i="1"/>
  <c r="S77" i="1"/>
  <c r="S98" i="1"/>
  <c r="D26" i="2"/>
  <c r="D24" i="2" s="1"/>
  <c r="H15" i="7"/>
  <c r="I17" i="7"/>
  <c r="H111" i="7"/>
  <c r="H110" i="7" s="1"/>
  <c r="I110" i="7"/>
  <c r="I16" i="7"/>
  <c r="H20" i="7"/>
  <c r="H66" i="7"/>
  <c r="H17" i="7"/>
  <c r="S540" i="1"/>
  <c r="I520" i="1"/>
  <c r="I519" i="1" s="1"/>
  <c r="K41" i="1"/>
  <c r="K44" i="1"/>
  <c r="S44" i="1" s="1"/>
  <c r="I30" i="1"/>
  <c r="S30" i="1" s="1"/>
  <c r="J533" i="1"/>
  <c r="S533" i="1" s="1"/>
  <c r="F44" i="2"/>
  <c r="I8" i="7"/>
  <c r="I65" i="7"/>
  <c r="I13" i="7"/>
  <c r="H12" i="7"/>
  <c r="I18" i="7"/>
  <c r="I12" i="7"/>
  <c r="I7" i="7" s="1"/>
  <c r="H133" i="7"/>
  <c r="K539" i="1"/>
  <c r="K20" i="1"/>
  <c r="J42" i="1"/>
  <c r="K42" i="1"/>
  <c r="J102" i="1"/>
  <c r="AG40" i="1"/>
  <c r="AJ40" i="1" s="1"/>
  <c r="AG114" i="1"/>
  <c r="AJ114" i="1" s="1"/>
  <c r="AG21" i="1"/>
  <c r="J539" i="1"/>
  <c r="S539" i="1" s="1"/>
  <c r="J526" i="1"/>
  <c r="S526" i="1" s="1"/>
  <c r="K7" i="1"/>
  <c r="J7" i="1"/>
  <c r="J22" i="7"/>
  <c r="AG35" i="1"/>
  <c r="AJ35" i="1" s="1"/>
  <c r="AG29" i="1"/>
  <c r="AJ29" i="1" s="1"/>
  <c r="I106" i="1"/>
  <c r="S106" i="1" s="1"/>
  <c r="D44" i="2"/>
  <c r="K525" i="1"/>
  <c r="K520" i="1" s="1"/>
  <c r="K12" i="1" s="1"/>
  <c r="K538" i="1"/>
  <c r="S538" i="1" s="1"/>
  <c r="K79" i="1"/>
  <c r="S79" i="1" s="1"/>
  <c r="K102" i="1"/>
  <c r="K17" i="1"/>
  <c r="S17" i="1" s="1"/>
  <c r="E44" i="2"/>
  <c r="J187" i="7"/>
  <c r="J76" i="7"/>
  <c r="J66" i="7"/>
  <c r="AJ34" i="1"/>
  <c r="J57" i="1"/>
  <c r="S57" i="1" s="1"/>
  <c r="J21" i="7"/>
  <c r="K59" i="1"/>
  <c r="S59" i="1" s="1"/>
  <c r="H65" i="7"/>
  <c r="H8" i="7"/>
  <c r="H7" i="7" s="1"/>
  <c r="AM36" i="1"/>
  <c r="I20" i="1"/>
  <c r="S20" i="1" s="1"/>
  <c r="J133" i="7"/>
  <c r="C44" i="2" l="1"/>
  <c r="J41" i="1"/>
  <c r="S42" i="1"/>
  <c r="K11" i="1"/>
  <c r="I102" i="1"/>
  <c r="S102" i="1" s="1"/>
  <c r="I12" i="1"/>
  <c r="I11" i="1" s="1"/>
  <c r="I29" i="1"/>
  <c r="S29" i="1" s="1"/>
  <c r="K43" i="1"/>
  <c r="S43" i="1" s="1"/>
  <c r="AM30" i="1"/>
  <c r="D42" i="2"/>
  <c r="F42" i="2"/>
  <c r="CA12" i="1"/>
  <c r="K519" i="1"/>
  <c r="AM35" i="1"/>
  <c r="AJ21" i="1"/>
  <c r="AG11" i="1"/>
  <c r="AJ11" i="1" s="1"/>
  <c r="D21" i="2"/>
  <c r="C21" i="2" s="1"/>
  <c r="AV114" i="1"/>
  <c r="AV111" i="1" s="1"/>
  <c r="K527" i="1"/>
  <c r="F26" i="2" s="1"/>
  <c r="F14" i="2" s="1"/>
  <c r="E42" i="2"/>
  <c r="AM38" i="1"/>
  <c r="CA111" i="1"/>
  <c r="AM182" i="1"/>
  <c r="AM39" i="1"/>
  <c r="AM118" i="1"/>
  <c r="AM40" i="1"/>
  <c r="J15" i="7"/>
  <c r="AM24" i="1"/>
  <c r="C42" i="2" l="1"/>
  <c r="D20" i="2"/>
  <c r="I41" i="1"/>
  <c r="S41" i="1" s="1"/>
  <c r="D15" i="2"/>
  <c r="J14" i="7"/>
  <c r="AM37" i="1"/>
  <c r="AM26" i="1"/>
  <c r="AM23" i="1"/>
  <c r="E18" i="2"/>
  <c r="AM114" i="1"/>
  <c r="CA59" i="1"/>
  <c r="D16" i="2"/>
  <c r="C16" i="2" s="1"/>
  <c r="F24" i="2"/>
  <c r="J17" i="7"/>
  <c r="AM34" i="1"/>
  <c r="AM33" i="1"/>
  <c r="J19" i="7"/>
  <c r="AM28" i="1"/>
  <c r="D14" i="2" l="1"/>
  <c r="V4" i="1"/>
  <c r="AV11" i="1"/>
  <c r="J525" i="1"/>
  <c r="S525" i="1" s="1"/>
  <c r="J527" i="1"/>
  <c r="S527" i="1" s="1"/>
  <c r="X11" i="1"/>
  <c r="K5" i="1"/>
  <c r="F15" i="2"/>
  <c r="F12" i="2" s="1"/>
  <c r="AM25" i="1"/>
  <c r="J16" i="7"/>
  <c r="AV29" i="1"/>
  <c r="D18" i="2"/>
  <c r="C18" i="2" s="1"/>
  <c r="J18" i="7"/>
  <c r="AM27" i="1"/>
  <c r="J13" i="7"/>
  <c r="AM22" i="1"/>
  <c r="AM29" i="1"/>
  <c r="I7" i="1"/>
  <c r="D12" i="2" l="1"/>
  <c r="J520" i="1"/>
  <c r="S520" i="1" s="1"/>
  <c r="AU525" i="1"/>
  <c r="E26" i="2"/>
  <c r="G15" i="2"/>
  <c r="C15" i="2" s="1"/>
  <c r="AM21" i="1"/>
  <c r="J12" i="7"/>
  <c r="E14" i="2" l="1"/>
  <c r="C26" i="2"/>
  <c r="G12" i="2"/>
  <c r="J519" i="1"/>
  <c r="S519" i="1" s="1"/>
  <c r="J12" i="1"/>
  <c r="S12" i="1" s="1"/>
  <c r="E24" i="2"/>
  <c r="C24" i="2" s="1"/>
  <c r="I5" i="1"/>
  <c r="V11" i="1"/>
  <c r="J7" i="7"/>
  <c r="T4" i="1"/>
  <c r="AM11" i="1"/>
  <c r="J11" i="1" l="1"/>
  <c r="E12" i="2"/>
  <c r="AU12" i="1"/>
  <c r="AU11" i="1" l="1"/>
  <c r="J5" i="1"/>
  <c r="W11" i="1"/>
  <c r="U4" i="1"/>
  <c r="S5" i="1" l="1"/>
  <c r="Y11" i="1"/>
</calcChain>
</file>

<file path=xl/sharedStrings.xml><?xml version="1.0" encoding="utf-8"?>
<sst xmlns="http://schemas.openxmlformats.org/spreadsheetml/2006/main" count="2723" uniqueCount="345">
  <si>
    <t>Статус</t>
  </si>
  <si>
    <t>Наименование Программы, подпрограммы, мероприятий</t>
  </si>
  <si>
    <t>Ответственный исполнитель, соисполнитель</t>
  </si>
  <si>
    <t>Код бюджетной классификации</t>
  </si>
  <si>
    <t>Расходы по годам, тыс. руб.</t>
  </si>
  <si>
    <t>ГРБС</t>
  </si>
  <si>
    <t>РзПр</t>
  </si>
  <si>
    <t>ЦСР</t>
  </si>
  <si>
    <t>ВР</t>
  </si>
  <si>
    <t>Муниципальная программа</t>
  </si>
  <si>
    <t>всего, в том числе:</t>
  </si>
  <si>
    <t>департамент городского хозяйства, всего</t>
  </si>
  <si>
    <t>главное управление образования, всего</t>
  </si>
  <si>
    <t>администрации районов в городе, всего</t>
  </si>
  <si>
    <t>администрация Железнодорожного района, всего</t>
  </si>
  <si>
    <t>администрация Кировского района, всего</t>
  </si>
  <si>
    <t>администрация Ленинского района, всего</t>
  </si>
  <si>
    <t>администрация Октябрьского района, всего</t>
  </si>
  <si>
    <t>администрация Свердловского района, всего</t>
  </si>
  <si>
    <t>администрация Советского района, всего</t>
  </si>
  <si>
    <t>администрация Центрального района, всего</t>
  </si>
  <si>
    <t>Подпрограмма 1</t>
  </si>
  <si>
    <t>"Обеспечение управления жилищным фондом и его капитальный ремонт"</t>
  </si>
  <si>
    <t>администрация Железнодорожного района</t>
  </si>
  <si>
    <t>администрация Кировского района</t>
  </si>
  <si>
    <t>администрация Ленинского района</t>
  </si>
  <si>
    <t>администрация Октябрьского района</t>
  </si>
  <si>
    <t>администрация Свердловского района</t>
  </si>
  <si>
    <t>администрация Советского района</t>
  </si>
  <si>
    <t>администрация Центрального района</t>
  </si>
  <si>
    <t>департамент городского хозяйства</t>
  </si>
  <si>
    <t>администрации районов в городе</t>
  </si>
  <si>
    <t>Организация и проведение конкурсов по отбору управляющих организаций</t>
  </si>
  <si>
    <t>Подпрограмма 2</t>
  </si>
  <si>
    <t>"Обеспечение работы объектов коммунальной инфраструктуры"</t>
  </si>
  <si>
    <t>Техническое обследование, содержание и ремонт коммунальных бесхозяйных и муниципальных объектов, не переданных в аренду или государственную собственность</t>
  </si>
  <si>
    <t>Подпрограмма 3</t>
  </si>
  <si>
    <t>за счет средств бюджета города</t>
  </si>
  <si>
    <t>за счет средств бюджета Красноярского края</t>
  </si>
  <si>
    <t>Подпрограмма 4</t>
  </si>
  <si>
    <t>"Содержание и ремонт объектов внешнего благоустройства, объектов главного управления по ГО, ЧС и ПБ"</t>
  </si>
  <si>
    <t>главное управление образования</t>
  </si>
  <si>
    <t>Содержание мест захоронения</t>
  </si>
  <si>
    <t>Содержание объектов озеленения и прочих объектов внешнего благоустройства</t>
  </si>
  <si>
    <t>Природоохранные мероприятия</t>
  </si>
  <si>
    <t>Поднятие и транспортировка трупов с места происшествия</t>
  </si>
  <si>
    <t>Организация и проведение акарицидных обработок мест массового отдыха населения</t>
  </si>
  <si>
    <t>Организация проведения мероприятий по отлову, учету, содержанию и иному обращению с безнадзорными домашними животными</t>
  </si>
  <si>
    <t>Предоставление грантов физическим лицам - победителям основного (городского) этапа конкурса "Самый благоустроенный район города Красноярска"</t>
  </si>
  <si>
    <t>Подпрограмма 5</t>
  </si>
  <si>
    <t>"Обеспечение реализации муниципальной программы"</t>
  </si>
  <si>
    <t>Обеспечение функций, возложенных на органы местного самоуправления</t>
  </si>
  <si>
    <t>Обеспечение деятельности муниципальных учреждений</t>
  </si>
  <si>
    <t>919 922 925 928 931 934 937</t>
  </si>
  <si>
    <t>0501</t>
  </si>
  <si>
    <t>0113</t>
  </si>
  <si>
    <t>0409</t>
  </si>
  <si>
    <t>0502</t>
  </si>
  <si>
    <t>Мероприятия по подвозу питьевой воды населению в случае временного прекращения или ограничения водоснабжения</t>
  </si>
  <si>
    <t>0505</t>
  </si>
  <si>
    <t>0503</t>
  </si>
  <si>
    <t>915 919 922 925 928 931 934 937</t>
  </si>
  <si>
    <t>0603</t>
  </si>
  <si>
    <t>всего</t>
  </si>
  <si>
    <t>в том числе по годам</t>
  </si>
  <si>
    <t>Всего по Программе</t>
  </si>
  <si>
    <t>По источникам финансирования:</t>
  </si>
  <si>
    <t>1. Бюджет города</t>
  </si>
  <si>
    <t>2. Краевой бюджет</t>
  </si>
  <si>
    <t>3. Федеральный бюджет</t>
  </si>
  <si>
    <t>4. Внебюджетные источники</t>
  </si>
  <si>
    <t>0309</t>
  </si>
  <si>
    <t>администрация города; главное управление по ГО ЧС и ПБ</t>
  </si>
  <si>
    <t>Изготовление и распространение среди населения печатной продукции по вопросам ГО, ЧС и ПБ</t>
  </si>
  <si>
    <t>-</t>
  </si>
  <si>
    <t>департамент градостроительства</t>
  </si>
  <si>
    <t>администрация города; главное управление по ГО ЧС и ПБ, всего</t>
  </si>
  <si>
    <t>"Развитие жилищно-коммунального хозяйства и дорожного комплекса города Красноярска" на 2015 год и плановый период 2016 - 2017 годов</t>
  </si>
  <si>
    <t>РАСПРЕДЕЛЕНИЕ</t>
  </si>
  <si>
    <t>Обслуживание системы оповещения и предоставление каналов связи</t>
  </si>
  <si>
    <t>Обеспечение вывоза мусора из частного сектора</t>
  </si>
  <si>
    <t>"Содержание и ремонт автомобильных дорог общего пользования местного значения в городе"</t>
  </si>
  <si>
    <t>Текущее содержание автомобильных дорог общего пользования местного значения и инженерных сооружений на них за счет средств муниципального дорожного фонда города Красноярска</t>
  </si>
  <si>
    <t>Текущее содержание автомобильных дорог общего пользования местного значения и инженерных сооружений на них</t>
  </si>
  <si>
    <t>831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</si>
  <si>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платы, установленной на территориях Красноярского края</t>
  </si>
  <si>
    <t>Содержание сетей ливневой канализации автомобильных дорог общего пользования местного значения</t>
  </si>
  <si>
    <t>810</t>
  </si>
  <si>
    <t>Основное мероприятие 4.14</t>
  </si>
  <si>
    <t>Основное мероприятие 4.15</t>
  </si>
  <si>
    <t>Основное мероприятие 4.16</t>
  </si>
  <si>
    <t xml:space="preserve">Предоставление грантов юридическим лицам (за исключением государственных (муниципальных) учреждений), индивидуальным предпринимателям - победителям основного (городского) этапа конкурса «Самый благоустроенный район города Красноярска» в 2014 году </t>
  </si>
  <si>
    <t xml:space="preserve">Предоставление грантов государственным (муниципальным) учреждениям (за исключением казенных учреждений) - победителям основного (городского) этапа ежегодного конкурса «Самый благоустроенный район города Красноярска» в 2014 году </t>
  </si>
  <si>
    <t>623</t>
  </si>
  <si>
    <t>Предоставление грантов государственным (муниципальным) учреждениям (за исключением казенных учреждений) - победителям основного (городского) этапа  конкурса «Самый благоустроенный район города Красноярска» в 2014 году</t>
  </si>
  <si>
    <t>613
623</t>
  </si>
  <si>
    <t>итого на период 2016 - 2018</t>
  </si>
  <si>
    <t>1010083050</t>
  </si>
  <si>
    <t>1050088210</t>
  </si>
  <si>
    <t>РАСПРЕДЕЛЕНИЕ ПЛАНИРУЕМЫХ РАСХОДОВ ПО отрасли "Жилищно-коммунальное хозяйство"</t>
  </si>
  <si>
    <t>Реконструкция автомобильных дорог с целью создания автомобильных парковок</t>
  </si>
  <si>
    <t>Предоставление грантов юридическим лицам победителям основного (городского) этапа конкурса "Самый благоустроенный район города Красноярска"</t>
  </si>
  <si>
    <t>Предоставление гранта району  победителю основного (городского) этапа конкурса "Самый благоустроенный район города Красноярска"</t>
  </si>
  <si>
    <t>2015
план</t>
  </si>
  <si>
    <t>2016
прогноз</t>
  </si>
  <si>
    <t>2014
факт</t>
  </si>
  <si>
    <t>Приобретение и монтаж оборудования для осуществления комплексных технических мероприятий по энергосбережению и повышению энергетической эффективности на системах наружного освещения</t>
  </si>
  <si>
    <t>Приобретение повысительной станции в мкр. Покровский</t>
  </si>
  <si>
    <t>Приложение 4 к муниципальной программе Развитие жилищно-коммунального
хозяйства и дорожного комплекса
города Красноярска на 2016 год и плановый период 2017 - 2018 годов</t>
  </si>
  <si>
    <t>Капитальный ремонт жилых домов (обследование жилых домов)</t>
  </si>
  <si>
    <t>Капитальный ремонт общежитий (в 2015 году оплата долгосрочных контрактов)</t>
  </si>
  <si>
    <t>Капитальный ремонт муниципальных квартир (в 2015 году оплата долгосрочных контрактов)</t>
  </si>
  <si>
    <t>Убытки по общежитиям</t>
  </si>
  <si>
    <t>Реализация отдельных мер по обеспечению ограничения платы граждан за коммунальные услуги (субвенция из краевого бюджета)</t>
  </si>
  <si>
    <t>Уплата взносов региональному оператору</t>
  </si>
  <si>
    <t>Капитальный ремонт дворов
2015 год оплата долгосрочных контрактов - 78,1 млн. руб., новые работы - 34,3 млн. руб.
2016 год оплата долгосрочных контрактов - 150,9 млн. руб., новые работы - 75,0 млн. руб.</t>
  </si>
  <si>
    <t>Мероприятия по повышению эксплуатационной надежности объектов жизнеобеспечения
2015 год - оплата долгосрочных контрактов - 77,3 млн. руб., новые работы - 220,3 млн. руб.
2016 год - оплата долгосрочных контрактов - 423,4 млн. руб., софинансирование краевой субсидии - 0,1 млн. руб.</t>
  </si>
  <si>
    <t xml:space="preserve">Содержание автомобильных дорог за счет средств краевого бюджета </t>
  </si>
  <si>
    <t>Текущее содержание дорог (предполагается выделения субсидии из краевого бюджета в 2016 году в сумме 372,9 млн. руб.), в том числе</t>
  </si>
  <si>
    <t>уборка дорог</t>
  </si>
  <si>
    <t>ливневка</t>
  </si>
  <si>
    <t>мосты</t>
  </si>
  <si>
    <t>разметка</t>
  </si>
  <si>
    <t>светофоры</t>
  </si>
  <si>
    <t>знаки</t>
  </si>
  <si>
    <t>прочие (АСУДД, мониторинг инженерных сооружений, содержание лифтов и т.д.)</t>
  </si>
  <si>
    <t>освещение</t>
  </si>
  <si>
    <t>ямочный ремонт (оплата долгосрочного контракта)</t>
  </si>
  <si>
    <t>Капитальный ремонт сетей наружного освещения,
в 2016 году - оплата долгосрочных контрактов - 30,14 млн. руб., новые работы - 40,0 млн. руб.</t>
  </si>
  <si>
    <t xml:space="preserve">Ремонт и капитальный ремонт автомобильных дорог общего пользования местного значения
2015 год оплата долгосрочных контрактов - 161,8 млн. руб. , новые работы млн. руб. - 72,2 млн. руб.;
2016 год - оплата долгосрочных контрактов - 67,3 млн. руб.., софинансирование краевой субсидии - 0,22 млн. руб. 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</si>
  <si>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
2015 год - оплата долгосрочных контрактов - 31,3 млн. руб., новые работы - 170,1 млн. руб.
2016 год - оплата долгосрочных контрактов - 216,3 млн. руб.</t>
  </si>
  <si>
    <t>Техническое оснащение промежуточных остановочных пунктов
2015 год - 26 млн. руб. - оплата долгосрочных контрактов, новые работы - 4 млн. руб.</t>
  </si>
  <si>
    <t>Приобретение и установка дорожных знаков за счет средств краевого бюджета (краевая субсидия)</t>
  </si>
  <si>
    <t>озеленение</t>
  </si>
  <si>
    <t>Содержание объектов внешнего благоустройства</t>
  </si>
  <si>
    <t>кладбища</t>
  </si>
  <si>
    <t>отлов безнадзоных животных</t>
  </si>
  <si>
    <t>акарицидная обработка</t>
  </si>
  <si>
    <t>вывоз мусора из частного сектора</t>
  </si>
  <si>
    <t>ликвидация свалок</t>
  </si>
  <si>
    <t>поднятие трупов</t>
  </si>
  <si>
    <t>прочие ОВБ (фонтаны, туалеты, елки и т.д.)</t>
  </si>
  <si>
    <t>департамент городского хозяйства, главное управление образования, управление ГО, ЧС и ПБ</t>
  </si>
  <si>
    <t>Предоставление грантов - победителям основного (городского) этапа конкурса "Самый благоустроенный район города Красноярска"</t>
  </si>
  <si>
    <t>Иски</t>
  </si>
  <si>
    <t>Капитальный проездов
2015 год - оплата долгосрочных контрактов - 59,9 млн. руб., новые работы - 25,2 млн. руб.
2016 год - оплата долгосрочных контрактов - 79,8 млн. руб., новые работы - 75,0 млн. руб.</t>
  </si>
  <si>
    <t>Капитальный ремонт, ремонт объектов озеленения и прочих объектов внешнего благоустройства
2015 год - оплата долгосрочных контрактов - 188,5 млн. руб., новые работы - 57,7 млн. руб.
2016 год - оплата долгосрочных контрактов - 60,3 млн. руб.</t>
  </si>
  <si>
    <t>тыс. рублей</t>
  </si>
  <si>
    <t>Объем финансирования</t>
  </si>
  <si>
    <t>№ п/п</t>
  </si>
  <si>
    <t>Источники финансирования</t>
  </si>
  <si>
    <t xml:space="preserve"> </t>
  </si>
  <si>
    <t>предыдущаа редакция</t>
  </si>
  <si>
    <t xml:space="preserve">за счет средств краевого бюджета </t>
  </si>
  <si>
    <t>Расходы на оплату оставшейся части платы за содержание и ремонт жилого помещения в случае, если установленный размер вносимой нанимателями жилых помещений по договорам социального найма и договорам найма жилых помещений муниципального жилищного фонда платы за содержание и ремонт жилого помещения меньше, чем размер платы за содержание и ремонт жилого помещения, установленный договором управления многоквартирным домом</t>
  </si>
  <si>
    <t>главное по физической культуре и спорту, всего</t>
  </si>
  <si>
    <t>главное по физической культуре, спорту и туризму, всего</t>
  </si>
  <si>
    <t>управление молодежной политики</t>
  </si>
  <si>
    <t>Основное мероприятие 8.</t>
  </si>
  <si>
    <t>1102</t>
  </si>
  <si>
    <t>108</t>
  </si>
  <si>
    <t>0801</t>
  </si>
  <si>
    <t>главное управление культуры, всего</t>
  </si>
  <si>
    <t>Развитие острова Татышев</t>
  </si>
  <si>
    <t>Развитие инфраструктуры острова Отдыха</t>
  </si>
  <si>
    <t xml:space="preserve"> Мероприятия по благоустройству территории МАУ «Парк «Роев ручей», направленные на формирование современной городской среды</t>
  </si>
  <si>
    <t>Развитие острова Молокова</t>
  </si>
  <si>
    <t>1080086300</t>
  </si>
  <si>
    <t>Устройство освещения улиц и подсветка зданий</t>
  </si>
  <si>
    <t>0707</t>
  </si>
  <si>
    <t>243</t>
  </si>
  <si>
    <t>департамент муниципального имущества и земельных отношений</t>
  </si>
  <si>
    <t>Комплексное озеленение общественных пространств за счет средств краевого бюджета</t>
  </si>
  <si>
    <t>Капитальный ремонт фасадов за счет средств краевого бюджета</t>
  </si>
  <si>
    <t>главное управление по физической культуре, спорту и туризму, всего</t>
  </si>
  <si>
    <t>главное управление по физической культуре, спорту и туризму</t>
  </si>
  <si>
    <t>Дорожный фонд</t>
  </si>
  <si>
    <t xml:space="preserve">Реализация мероприятий по благоустройству, направленных на формирование современной городской среды
</t>
  </si>
  <si>
    <t>за счет средств федерального  бюджета</t>
  </si>
  <si>
    <t>за счет средств краевого бюджета</t>
  </si>
  <si>
    <t>(тыс. рублей)</t>
  </si>
  <si>
    <t>N п/п</t>
  </si>
  <si>
    <t>Обустройство общественных пространств</t>
  </si>
  <si>
    <t>Устройство освещения улиц</t>
  </si>
  <si>
    <t xml:space="preserve">Комплексное озеленение </t>
  </si>
  <si>
    <t>Развитие инфраструктуры о. Молокова</t>
  </si>
  <si>
    <t xml:space="preserve">Всего,  в том числе </t>
  </si>
  <si>
    <t>Развитие инфраструктуры о. Татышев</t>
  </si>
  <si>
    <t>Развитие инфраструктуры о. Отдыха</t>
  </si>
  <si>
    <t>Подпрограмма 1, всего</t>
  </si>
  <si>
    <t>Подпрограмма 2, всего</t>
  </si>
  <si>
    <t>Мероприятие 1.1</t>
  </si>
  <si>
    <t>1320073890</t>
  </si>
  <si>
    <t>13200S3890</t>
  </si>
  <si>
    <t>1320000000</t>
  </si>
  <si>
    <t xml:space="preserve">за счет средств краевого бюджета  </t>
  </si>
  <si>
    <t xml:space="preserve">за счет средств бюджета города </t>
  </si>
  <si>
    <t>Из них:</t>
  </si>
  <si>
    <t>Мероприятие 2.1.</t>
  </si>
  <si>
    <t>управление молодежной политики, всего</t>
  </si>
  <si>
    <t xml:space="preserve">"Инфраструктурное развитие и улучшение внешнего облика города Красноярска в целях подготовки к проведению XXIX Всемирной зимней универсиады 2019 года в г.Красноярске" </t>
  </si>
  <si>
    <t>"Поддержка местных инициатив"</t>
  </si>
  <si>
    <t>Мероприятие 3.1</t>
  </si>
  <si>
    <t>Мероприятие 3.2</t>
  </si>
  <si>
    <t>Отдельное мероприятие 1</t>
  </si>
  <si>
    <t>Отдельное мероприятие 2</t>
  </si>
  <si>
    <t>юридическим лицам (за исключением государственных (муниципальных) учреждений), индивидуальным предпринимателям</t>
  </si>
  <si>
    <t>государственным (муниципальным) учреждениям (за исключением казенных учреждений)</t>
  </si>
  <si>
    <t>Мероприятие 3.3</t>
  </si>
  <si>
    <t>Мероприятие 3.4</t>
  </si>
  <si>
    <t>Подпрограмма 3, всего</t>
  </si>
  <si>
    <t>Отдельное мероприятие 1, всего</t>
  </si>
  <si>
    <t>Отдельное мероприятие 2, всего</t>
  </si>
  <si>
    <t xml:space="preserve">управление молодёжной политики </t>
  </si>
  <si>
    <t>"Формирование современной городской среды"</t>
  </si>
  <si>
    <t>Мероприятие 3.5</t>
  </si>
  <si>
    <t>Благоустройство мест массового отдыха населения города</t>
  </si>
  <si>
    <t>Финансовое обеспечение части затрат социально ориентированных некоммерческих организаций, не являющихся государственными (муниципальными) учреждениями – победителей конкурса социальных проектов в сфере молодежной политики по оформлению городских пространств на территории города Красноярска</t>
  </si>
  <si>
    <t xml:space="preserve">Предоставление грантов физическим лицам – победителям конкурса социальных проектов в сфере молодежной политики по оформлению городских пространств на территории города Красноярска </t>
  </si>
  <si>
    <t xml:space="preserve">Организация и проведение конкурса социальных проектов в сфере молодежной политики по оформлению городских пространств на территории города Красноярска </t>
  </si>
  <si>
    <t>Ремонт фасадов зданий и ремонт фасадов зданий с устройством архитектурно-художественной подсветки</t>
  </si>
  <si>
    <t>Реализация проектов инициативного бюджетирования</t>
  </si>
  <si>
    <t>631,                   812</t>
  </si>
  <si>
    <t>632</t>
  </si>
  <si>
    <t>Благоустройство общественных территорий</t>
  </si>
  <si>
    <t>Благоустройство дворовых территорий</t>
  </si>
  <si>
    <t>Предоставление грантов победителям ежегодного конкурса "Самый благоустроенный район города Красноярска"</t>
  </si>
  <si>
    <t>Предоставление грантов победителям ежегодного конкурса "Самый благоустроенный район города Красноярска" - физическим лицам</t>
  </si>
  <si>
    <t>Обустройство визит-центра Универсиады в районе западной части о. Татышев</t>
  </si>
  <si>
    <t>Мероприятие 2.2.</t>
  </si>
  <si>
    <t>1320083890</t>
  </si>
  <si>
    <t xml:space="preserve">Организация и реализация мероприятий по благоустройству городской среды в целях подготовки к проведению ХХIХ Всемирной зимней универсиады 2019 года в городе Красноярске </t>
  </si>
  <si>
    <t>департамент Главы города</t>
  </si>
  <si>
    <r>
      <t xml:space="preserve">Благоустройство территорий </t>
    </r>
    <r>
      <rPr>
        <sz val="14"/>
        <color rgb="FFFF0000"/>
        <rFont val="Times New Roman"/>
        <family val="1"/>
        <charset val="204"/>
      </rPr>
      <t>после сноса</t>
    </r>
    <r>
      <rPr>
        <sz val="14"/>
        <rFont val="Times New Roman"/>
        <family val="1"/>
        <charset val="204"/>
      </rPr>
      <t xml:space="preserve"> ветхого и аварийного жилья вдоль гостевых трасс</t>
    </r>
  </si>
  <si>
    <t>811</t>
  </si>
  <si>
    <t>631</t>
  </si>
  <si>
    <t>Мероприятие 2.3.</t>
  </si>
  <si>
    <t>1320055220</t>
  </si>
  <si>
    <t>244</t>
  </si>
  <si>
    <t>благоустройство общественных пространств</t>
  </si>
  <si>
    <t>благоустройство улиц города Красноярска</t>
  </si>
  <si>
    <t>ремонт освещения и устройство иллюминации на улицах города Красноярска</t>
  </si>
  <si>
    <t>благоустройство общественных пространств после сноса временных сооружений</t>
  </si>
  <si>
    <t>Мероприятие 3.6</t>
  </si>
  <si>
    <t xml:space="preserve">13100L5550 </t>
  </si>
  <si>
    <t>0</t>
  </si>
  <si>
    <t>131F255550</t>
  </si>
  <si>
    <t>за счет внебюджетных источников</t>
  </si>
  <si>
    <t xml:space="preserve">Реализация проектов инициативного бюджетирования, выбранных на конкурсной основе
</t>
  </si>
  <si>
    <t>132005522Z</t>
  </si>
  <si>
    <t>департамент социального развития, всего</t>
  </si>
  <si>
    <t>департамент социального развития</t>
  </si>
  <si>
    <t>департамент Главы города, всего</t>
  </si>
  <si>
    <t>Мероприятие 3.7</t>
  </si>
  <si>
    <t>Капитальный ремонт, ремонт объектов озеленения и прочих объектов внешнего  благоустройства за счет средств призового фонда ежегодного конкурса "Самый благоустроенный район города Красноярска"</t>
  </si>
  <si>
    <t>главное управление молодёжной политики и туризма</t>
  </si>
  <si>
    <t>главное управление молодежной политики и туризма, всего</t>
  </si>
  <si>
    <t>управление молодёжной политики, всего</t>
  </si>
  <si>
    <t>главное управление молодёжной политики и туризма, всего</t>
  </si>
  <si>
    <t>Мероприятие 3.8</t>
  </si>
  <si>
    <t>Предоставление грантов победителям конкурса "Лучшая концепция озеленения территории"</t>
  </si>
  <si>
    <t>главное управление культуры</t>
  </si>
  <si>
    <t>630, 810</t>
  </si>
  <si>
    <t>240</t>
  </si>
  <si>
    <t>620</t>
  </si>
  <si>
    <t xml:space="preserve">    Всего,  в том числе </t>
  </si>
  <si>
    <t>630,  810</t>
  </si>
  <si>
    <t>610,  620</t>
  </si>
  <si>
    <t>Мероприятие 1.2</t>
  </si>
  <si>
    <t>131F274510</t>
  </si>
  <si>
    <t>Поощрение муниципальных образований - победителей конкурса лучших проектов создания комфортной городской среды</t>
  </si>
  <si>
    <t xml:space="preserve">Финансовое обеспечение подготовки города Красноярска к проведению XXIX Всемирной зимней универсиады 2019 года </t>
  </si>
  <si>
    <t>Реализация мероприятий по инфраструктурному развитию отдельных территорий города</t>
  </si>
  <si>
    <t>Капитальный ремонт и ремонт проездов к дворовым территориям многоквартирных домов</t>
  </si>
  <si>
    <t>Капитальный ремонт и ремонт проездов к дворовым территориям многоквартирных домов за счет средств муниципального дорожного фонда города Красноярска</t>
  </si>
  <si>
    <t>Отдельное мероприятие 3</t>
  </si>
  <si>
    <t>Отдельное мероприятие 3, всего</t>
  </si>
  <si>
    <t>Мероприятие 3.9</t>
  </si>
  <si>
    <t>Реализация инициативных проектов</t>
  </si>
  <si>
    <t>919 922 928 931 934 937</t>
  </si>
  <si>
    <t>администрация Железнодорожного района , всего</t>
  </si>
  <si>
    <t xml:space="preserve">1330089201
</t>
  </si>
  <si>
    <t>"Мир во дворе"</t>
  </si>
  <si>
    <t>"Там, где сбываются мечты"</t>
  </si>
  <si>
    <t>"Яблоневый сад"</t>
  </si>
  <si>
    <t>"Благоустройство территории по ул. Заводская, 4"</t>
  </si>
  <si>
    <t>"Благоустройство территории по ул. Новосибирская, 29"</t>
  </si>
  <si>
    <t>"Благоустройство территории по пр. Свободный, 53а"</t>
  </si>
  <si>
    <t>"Благоустройство общественного пространства - сквер "Дружный"</t>
  </si>
  <si>
    <t>"Площадка для выгула собак"</t>
  </si>
  <si>
    <t>"Размещение площадки "Страна ОЗ"</t>
  </si>
  <si>
    <t>* с учетом планируемого финансового участия заинтересованных лиц при благоустройстве дворовых территорий и планируемого привлечения средств за счет внебюджетных источников при благоустройстве общественных территорий; за счет денежных пожертвований, предоставляемых физическими, юридическими лицами в целях реализации проектов инициативного бюджетирования, выбранных на конкурсной основе.</t>
  </si>
  <si>
    <t>4. Внебюджетные источники*</t>
  </si>
  <si>
    <t>Распределение бюджетных ассигнований по подпрограммам и отдельным мероприятиям муниципальной программы</t>
  </si>
  <si>
    <t>Ответственный исполнитель, соисполнитель муниципальной программы</t>
  </si>
  <si>
    <t>Бюджетные асссигнования, годы</t>
  </si>
  <si>
    <t>бюджетных ассигнований и средств из внебюджетных источников на реализацию муниципальной программы с разбивкой по источникам финансирования</t>
  </si>
  <si>
    <t>"Уютный дворик"</t>
  </si>
  <si>
    <t>"Оазис"</t>
  </si>
  <si>
    <t>"Сквер памяти генерал-майора милиции Горобцова В.И."</t>
  </si>
  <si>
    <t>"Детский спортивный комплекс"</t>
  </si>
  <si>
    <t>"Спортивная площадка "Двор мечты"</t>
  </si>
  <si>
    <t>"Развивающая детско-спортивная площадка "ЗатонЧик"</t>
  </si>
  <si>
    <t>"Благоустройство территории сквера "Тотем"</t>
  </si>
  <si>
    <t>"Детская спортивно-оздоровительная площадка "Дети при деле"</t>
  </si>
  <si>
    <t>"Инициативный проект территории, ограниченной домами № 4г по ул. Тотмина и № 4, 4а по ул. Карбышева"</t>
  </si>
  <si>
    <t>Наименование муниципальной программы, подпрограммы, мероприятия подпрограммы, отдельного мероприятия</t>
  </si>
  <si>
    <t>"Сквер Уютный"</t>
  </si>
  <si>
    <t xml:space="preserve">«Приложение 4
к муниципальной программе
«Повышение эффективности деятельности городского самоуправления по формированию современной городской среды»
</t>
  </si>
  <si>
    <t xml:space="preserve">«Повышение эффективности деятельности городского самоуправления по формированию современной городской среды»
</t>
  </si>
  <si>
    <t>Приложение 6
к муниципальной программе
«Повышение эффективности деятельности городского самоуправления по формированию современной городской среды»</t>
  </si>
  <si>
    <t xml:space="preserve"> 810</t>
  </si>
  <si>
    <t>"Благоустройство территории между многоквартирными домами № 11а, 13, по ул. Менжинского и территорией образовательного учреждения "Лицей № 7"</t>
  </si>
  <si>
    <t>"Вавиловский дворик"</t>
  </si>
  <si>
    <t>"Страна детства"</t>
  </si>
  <si>
    <t>"Высокий берег"</t>
  </si>
  <si>
    <t>"Многофункциональная площадка в мкрн. Удачный рядом с земельным участком с кадастровым номером 24:50:0100451:1416 по ул. Аксеновского"</t>
  </si>
  <si>
    <t>"Детская спортивная площадка в мкрн. Славянский"</t>
  </si>
  <si>
    <t>"Ветер перемен"</t>
  </si>
  <si>
    <t>"Антей"</t>
  </si>
  <si>
    <t>"Дети и родители"</t>
  </si>
  <si>
    <t>департамент городского хозяйства и транспорта, всего</t>
  </si>
  <si>
    <t>департамент городского хозяйства и транспорта</t>
  </si>
  <si>
    <t>главное управление молодежной политики, всего</t>
  </si>
  <si>
    <t>главное управление молодёжной политики</t>
  </si>
  <si>
    <t>главное управление молодёжной политики, всего</t>
  </si>
  <si>
    <t>Мероприятие 1.3</t>
  </si>
  <si>
    <t>Реализация мероприятий по благоустройству территорий</t>
  </si>
  <si>
    <t>131F278440</t>
  </si>
  <si>
    <t>итого на период 2018-2027</t>
  </si>
  <si>
    <t>131И455550</t>
  </si>
  <si>
    <t>"Детско - юношеская спортивная площадка по типу «Мама, папа, я – спортивная семья"</t>
  </si>
  <si>
    <t>"Благоустройство территории между жилыми домами № 34 по ул. Робеспьера и № 149 по ул. Ады Лебедевой"</t>
  </si>
  <si>
    <t>"Инициативный проект благоустройства общественного пространства - зоны отдыха «ЭКОДВОР»"</t>
  </si>
  <si>
    <t>"Благоустройство территории между жилыми многоквартир-ными домами № 9, 9а, 7, 11 по ул. Тотмина – сквер «Сосновый островок на Тотмина»</t>
  </si>
  <si>
    <t xml:space="preserve">"Детская спортивная площадка мкрн. Славянский" (2-й этап на 2025 год) </t>
  </si>
  <si>
    <t>"Благоустройство общественной территории – сквер «Овинный»</t>
  </si>
  <si>
    <t xml:space="preserve">«СЕРЕБРЯНЫЙ ДВОРИК» </t>
  </si>
  <si>
    <t>"Цветущий Лог"</t>
  </si>
  <si>
    <t>"Сквер «Лес’ОК»</t>
  </si>
  <si>
    <t>"Спортивная аллея «Семья»</t>
  </si>
  <si>
    <t>131И478440</t>
  </si>
  <si>
    <t xml:space="preserve">Приложение 1 к постановлению
администрации города
от ____________ № ____ 
</t>
  </si>
  <si>
    <t xml:space="preserve">Приложение 2 к постановлению
администрации города
от ____________ № ____ 
</t>
  </si>
  <si>
    <t>13100L55550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</si>
</sst>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u/>
      <sz val="11"/>
      <color theme="10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u/>
      <sz val="14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sz val="11"/>
      <color theme="1"/>
      <name val="Times New Roman"/>
      <family val="2"/>
      <charset val="204"/>
    </font>
    <font>
      <u/>
      <sz val="14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28F83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3" fillId="0" borderId="0"/>
    <xf numFmtId="43" fontId="26" fillId="0" borderId="0" applyFont="0" applyFill="0" applyBorder="0" applyAlignment="0" applyProtection="0"/>
  </cellStyleXfs>
  <cellXfs count="226">
    <xf numFmtId="0" fontId="0" fillId="0" borderId="0" xfId="0"/>
    <xf numFmtId="49" fontId="0" fillId="0" borderId="0" xfId="0" applyNumberFormat="1"/>
    <xf numFmtId="4" fontId="0" fillId="0" borderId="0" xfId="0" applyNumberFormat="1"/>
    <xf numFmtId="4" fontId="7" fillId="0" borderId="0" xfId="0" applyNumberFormat="1" applyFont="1"/>
    <xf numFmtId="0" fontId="8" fillId="0" borderId="0" xfId="0" applyFont="1" applyBorder="1" applyAlignment="1">
      <alignment vertical="center" wrapText="1"/>
    </xf>
    <xf numFmtId="0" fontId="0" fillId="0" borderId="0" xfId="0" applyBorder="1"/>
    <xf numFmtId="4" fontId="8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4" fontId="12" fillId="0" borderId="0" xfId="0" applyNumberFormat="1" applyFont="1"/>
    <xf numFmtId="0" fontId="1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4" fontId="5" fillId="0" borderId="0" xfId="0" applyNumberFormat="1" applyFont="1" applyFill="1"/>
    <xf numFmtId="4" fontId="1" fillId="0" borderId="2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" fontId="13" fillId="0" borderId="0" xfId="0" applyNumberFormat="1" applyFont="1" applyFill="1"/>
    <xf numFmtId="0" fontId="5" fillId="0" borderId="0" xfId="0" applyFont="1" applyFill="1"/>
    <xf numFmtId="4" fontId="14" fillId="0" borderId="0" xfId="0" applyNumberFormat="1" applyFont="1" applyFill="1"/>
    <xf numFmtId="4" fontId="15" fillId="0" borderId="0" xfId="0" applyNumberFormat="1" applyFont="1" applyFill="1"/>
    <xf numFmtId="2" fontId="13" fillId="0" borderId="0" xfId="0" applyNumberFormat="1" applyFont="1" applyFill="1"/>
    <xf numFmtId="2" fontId="15" fillId="0" borderId="0" xfId="0" applyNumberFormat="1" applyFont="1" applyFill="1"/>
    <xf numFmtId="4" fontId="8" fillId="0" borderId="0" xfId="0" applyNumberFormat="1" applyFont="1" applyFill="1" applyAlignment="1">
      <alignment vertical="center"/>
    </xf>
    <xf numFmtId="0" fontId="16" fillId="0" borderId="1" xfId="0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3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/>
    <xf numFmtId="0" fontId="19" fillId="0" borderId="0" xfId="0" applyFont="1" applyFill="1"/>
    <xf numFmtId="4" fontId="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 indent="3"/>
    </xf>
    <xf numFmtId="4" fontId="21" fillId="0" borderId="0" xfId="0" applyNumberFormat="1" applyFont="1" applyFill="1"/>
    <xf numFmtId="0" fontId="21" fillId="0" borderId="0" xfId="0" applyFont="1" applyFill="1"/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/>
    </xf>
    <xf numFmtId="0" fontId="22" fillId="0" borderId="1" xfId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5" fillId="0" borderId="0" xfId="0" applyFont="1" applyFill="1"/>
    <xf numFmtId="0" fontId="25" fillId="0" borderId="0" xfId="0" applyFont="1" applyFill="1" applyAlignment="1">
      <alignment horizontal="right" vertical="top" wrapText="1"/>
    </xf>
    <xf numFmtId="164" fontId="13" fillId="0" borderId="0" xfId="0" applyNumberFormat="1" applyFont="1" applyFill="1"/>
    <xf numFmtId="0" fontId="22" fillId="0" borderId="0" xfId="1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wrapText="1"/>
    </xf>
    <xf numFmtId="4" fontId="8" fillId="0" borderId="1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center" wrapText="1" indent="3"/>
    </xf>
    <xf numFmtId="0" fontId="1" fillId="0" borderId="0" xfId="0" applyFont="1" applyFill="1" applyBorder="1"/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4" fontId="13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8" fillId="0" borderId="0" xfId="0" applyFont="1" applyFill="1" applyBorder="1"/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4" fontId="17" fillId="0" borderId="0" xfId="0" applyNumberFormat="1" applyFont="1" applyFill="1" applyBorder="1"/>
    <xf numFmtId="4" fontId="5" fillId="0" borderId="0" xfId="0" applyNumberFormat="1" applyFont="1" applyFill="1" applyBorder="1"/>
    <xf numFmtId="0" fontId="5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/>
    <xf numFmtId="0" fontId="1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left" vertical="top" wrapText="1"/>
    </xf>
    <xf numFmtId="4" fontId="8" fillId="0" borderId="1" xfId="2" applyNumberFormat="1" applyFont="1" applyFill="1" applyBorder="1" applyAlignment="1">
      <alignment horizontal="center" vertical="center" wrapText="1"/>
    </xf>
    <xf numFmtId="4" fontId="27" fillId="0" borderId="1" xfId="2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3"/>
    </xf>
    <xf numFmtId="0" fontId="0" fillId="0" borderId="1" xfId="0" applyFill="1" applyBorder="1" applyAlignment="1"/>
    <xf numFmtId="4" fontId="1" fillId="5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25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3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6" fillId="0" borderId="3" xfId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1" xfId="1" applyFill="1" applyBorder="1" applyAlignment="1">
      <alignment vertical="center" wrapText="1"/>
    </xf>
    <xf numFmtId="0" fontId="16" fillId="0" borderId="0" xfId="0" applyFont="1" applyAlignment="1">
      <alignment horizontal="center"/>
    </xf>
  </cellXfs>
  <cellStyles count="4">
    <cellStyle name="Гиперссылка" xfId="1" builtinId="8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2" defaultPivotStyle="PivotStyleLight16"/>
  <colors>
    <mruColors>
      <color rgb="FFCCFFFF"/>
      <color rgb="FF28F83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72;&#1103;%202024/&#1052;&#1059;&#1053;&#1048;&#1062;&#1048;&#1055;&#1040;&#1051;&#1068;&#1053;&#1067;&#1045;%20&#1055;&#1056;&#1054;&#1043;&#1056;&#1040;&#1052;&#1052;&#1067;%202025/&#1055;&#1086;&#1074;&#1099;&#1096;&#1077;&#1085;&#1080;&#1077;%20&#1101;&#1092;&#1092;&#1077;&#1082;&#1090;&#1080;&#1074;&#1085;&#1086;&#1089;&#1090;&#1080;/&#1055;&#1088;&#1086;&#1077;&#1082;&#1090;%20&#1089;%20&#1048;&#1055;%2030.10.2024/&#1055;&#1088;&#1080;&#1083;&#1086;&#1078;&#1077;&#1085;&#1080;&#1077;%204,%206%20%20&#1087;&#1088;&#1086;&#1077;&#1082;&#1090;%202025%20&#1089;%20&#104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4"/>
      <sheetName val="приложение 6"/>
      <sheetName val="ИП"/>
      <sheetName val="Лист1"/>
      <sheetName val="ФЭО"/>
    </sheetNames>
    <sheetDataSet>
      <sheetData sheetId="0">
        <row r="41">
          <cell r="P41">
            <v>42569.86</v>
          </cell>
          <cell r="Q41">
            <v>42569.86</v>
          </cell>
          <cell r="R41">
            <v>42569.86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5F2D014D1362217C57894CE28071C1A7A9E0F44ECD654503C5869B772E46E52D2F2F62BCA7A58DE493FC862Dp8y8E" TargetMode="External"/><Relationship Id="rId2" Type="http://schemas.openxmlformats.org/officeDocument/2006/relationships/hyperlink" Target="consultantplus://offline/ref=5F2D014D1362217C57894CE28071C1A7A9E0F44ECD654503C5869B772E46E52D2F2F62BCA7A58DE493FC8621p8yCE" TargetMode="External"/><Relationship Id="rId1" Type="http://schemas.openxmlformats.org/officeDocument/2006/relationships/hyperlink" Target="consultantplus://offline/ref=5F2D014D1362217C57894CE28071C1A7A9E0F44ECD654503C5869B772E46E52D2F2F62BCA7A58DE493FC812Dp8yBE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consultantplus://offline/ref=5F2D014D1362217C57894CE28071C1A7A9E0F44ECD654503C5869B772E46E52D2F2F62BCA7A58DE493FC8425p8yDE" TargetMode="External"/><Relationship Id="rId4" Type="http://schemas.openxmlformats.org/officeDocument/2006/relationships/hyperlink" Target="consultantplus://offline/ref=5F2D014D1362217C57894CE28071C1A7A9E0F44ECD654503C5869B772E46E52D2F2F62BCA7A58DE493FD832Dp8yA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731"/>
  <sheetViews>
    <sheetView tabSelected="1" view="pageBreakPreview" topLeftCell="B580" zoomScale="80" zoomScaleNormal="60" zoomScaleSheetLayoutView="80" zoomScalePageLayoutView="60" workbookViewId="0">
      <selection activeCell="G602" sqref="G602"/>
    </sheetView>
  </sheetViews>
  <sheetFormatPr defaultRowHeight="18.75" x14ac:dyDescent="0.3"/>
  <cols>
    <col min="1" max="1" width="5.7109375" style="39" customWidth="1"/>
    <col min="2" max="2" width="19.28515625" style="129" customWidth="1"/>
    <col min="3" max="3" width="28.7109375" style="40" customWidth="1"/>
    <col min="4" max="4" width="28" style="41" customWidth="1"/>
    <col min="5" max="5" width="10.140625" style="42" customWidth="1"/>
    <col min="6" max="6" width="8.140625" style="43" customWidth="1"/>
    <col min="7" max="7" width="16.42578125" style="42" customWidth="1"/>
    <col min="8" max="8" width="7.7109375" style="42" customWidth="1"/>
    <col min="9" max="10" width="17" style="35" customWidth="1"/>
    <col min="11" max="11" width="18.5703125" style="35" customWidth="1"/>
    <col min="12" max="12" width="18" style="35" customWidth="1"/>
    <col min="13" max="13" width="18.5703125" style="35" customWidth="1"/>
    <col min="14" max="14" width="20.140625" style="44" customWidth="1"/>
    <col min="15" max="15" width="17.7109375" style="44" customWidth="1"/>
    <col min="16" max="18" width="16.5703125" style="44" customWidth="1"/>
    <col min="19" max="19" width="18.85546875" style="35" customWidth="1"/>
    <col min="20" max="20" width="15.5703125" style="44" hidden="1" customWidth="1"/>
    <col min="21" max="21" width="18.42578125" style="44" hidden="1" customWidth="1"/>
    <col min="22" max="22" width="19.5703125" style="44" hidden="1" customWidth="1"/>
    <col min="23" max="23" width="18.42578125" style="35" hidden="1" customWidth="1"/>
    <col min="24" max="24" width="24.85546875" style="35" hidden="1" customWidth="1"/>
    <col min="25" max="25" width="21.7109375" style="35" hidden="1" customWidth="1"/>
    <col min="26" max="26" width="16.28515625" style="44" hidden="1" customWidth="1"/>
    <col min="27" max="31" width="9.140625" style="35" hidden="1" customWidth="1"/>
    <col min="32" max="32" width="3.140625" style="35" hidden="1" customWidth="1"/>
    <col min="33" max="33" width="17" style="35" hidden="1" customWidth="1"/>
    <col min="34" max="34" width="16.7109375" style="35" hidden="1" customWidth="1"/>
    <col min="35" max="35" width="16.42578125" style="35" hidden="1" customWidth="1"/>
    <col min="36" max="36" width="17.7109375" style="35" hidden="1" customWidth="1"/>
    <col min="37" max="37" width="9.140625" style="35" hidden="1" customWidth="1"/>
    <col min="38" max="38" width="16.42578125" style="35" hidden="1" customWidth="1"/>
    <col min="39" max="39" width="10.42578125" style="35" hidden="1" customWidth="1"/>
    <col min="40" max="40" width="12.42578125" style="35" hidden="1" customWidth="1"/>
    <col min="41" max="42" width="15" style="35" customWidth="1"/>
    <col min="43" max="43" width="19.5703125" style="35" customWidth="1"/>
    <col min="44" max="44" width="15.5703125" style="35" customWidth="1"/>
    <col min="45" max="45" width="12.5703125" style="35" customWidth="1"/>
    <col min="46" max="46" width="9.140625" style="35" customWidth="1"/>
    <col min="47" max="47" width="15.85546875" style="35" customWidth="1"/>
    <col min="48" max="48" width="30.140625" style="35" hidden="1" customWidth="1"/>
    <col min="49" max="49" width="14.7109375" style="35" hidden="1" customWidth="1"/>
    <col min="50" max="50" width="14.42578125" style="35" hidden="1" customWidth="1"/>
    <col min="51" max="51" width="16.42578125" style="35" hidden="1" customWidth="1"/>
    <col min="52" max="52" width="0" style="35" hidden="1" customWidth="1"/>
    <col min="53" max="53" width="11.5703125" style="35" hidden="1" customWidth="1"/>
    <col min="54" max="54" width="21.28515625" style="35" hidden="1" customWidth="1"/>
    <col min="55" max="55" width="30.85546875" style="35" hidden="1" customWidth="1"/>
    <col min="56" max="56" width="32.28515625" style="35" hidden="1" customWidth="1"/>
    <col min="57" max="57" width="74.85546875" style="35" hidden="1" customWidth="1"/>
    <col min="58" max="62" width="0" style="35" hidden="1" customWidth="1"/>
    <col min="63" max="63" width="12.42578125" style="35" hidden="1" customWidth="1"/>
    <col min="64" max="64" width="19.28515625" style="35" hidden="1" customWidth="1"/>
    <col min="65" max="65" width="13.5703125" style="35" hidden="1" customWidth="1"/>
    <col min="66" max="66" width="12.140625" style="35" hidden="1" customWidth="1"/>
    <col min="67" max="78" width="0" style="35" hidden="1" customWidth="1"/>
    <col min="79" max="79" width="19.85546875" style="35" customWidth="1"/>
    <col min="80" max="80" width="26.7109375" style="35" customWidth="1"/>
    <col min="81" max="81" width="9.140625" style="35"/>
    <col min="82" max="82" width="14.140625" style="35" customWidth="1"/>
    <col min="83" max="83" width="18.140625" style="35" customWidth="1"/>
    <col min="84" max="84" width="17.140625" style="35" customWidth="1"/>
    <col min="85" max="86" width="9.140625" style="35"/>
    <col min="87" max="87" width="12.140625" style="35" customWidth="1"/>
    <col min="88" max="16384" width="9.140625" style="35"/>
  </cols>
  <sheetData>
    <row r="1" spans="1:79" s="99" customFormat="1" ht="61.5" customHeight="1" x14ac:dyDescent="0.3">
      <c r="A1" s="94"/>
      <c r="B1" s="124"/>
      <c r="C1" s="95"/>
      <c r="D1" s="96"/>
      <c r="E1" s="97"/>
      <c r="F1" s="98"/>
      <c r="G1" s="97"/>
      <c r="H1" s="97"/>
      <c r="L1" s="167" t="s">
        <v>342</v>
      </c>
      <c r="M1" s="167"/>
      <c r="N1" s="167"/>
      <c r="O1" s="167"/>
      <c r="P1" s="167"/>
      <c r="Q1" s="167"/>
      <c r="R1" s="167"/>
      <c r="S1" s="167"/>
      <c r="T1" s="100"/>
      <c r="U1" s="100"/>
      <c r="V1" s="100"/>
      <c r="Z1" s="100"/>
    </row>
    <row r="2" spans="1:79" s="99" customFormat="1" ht="11.25" customHeight="1" x14ac:dyDescent="0.3">
      <c r="A2" s="94"/>
      <c r="B2" s="124"/>
      <c r="C2" s="95"/>
      <c r="D2" s="96"/>
      <c r="E2" s="97"/>
      <c r="F2" s="98"/>
      <c r="G2" s="97"/>
      <c r="H2" s="97"/>
      <c r="K2" s="101"/>
      <c r="L2" s="167" t="s">
        <v>308</v>
      </c>
      <c r="M2" s="167"/>
      <c r="N2" s="167"/>
      <c r="O2" s="167"/>
      <c r="P2" s="167"/>
      <c r="Q2" s="167"/>
      <c r="R2" s="167"/>
      <c r="S2" s="167"/>
      <c r="T2" s="100"/>
      <c r="U2" s="100"/>
      <c r="V2" s="100"/>
      <c r="Z2" s="100"/>
    </row>
    <row r="3" spans="1:79" s="99" customFormat="1" ht="39.75" customHeight="1" x14ac:dyDescent="0.3">
      <c r="A3" s="94"/>
      <c r="B3" s="124"/>
      <c r="C3" s="95"/>
      <c r="D3" s="96"/>
      <c r="E3" s="97"/>
      <c r="F3" s="98"/>
      <c r="G3" s="97"/>
      <c r="H3" s="97"/>
      <c r="J3" s="101"/>
      <c r="K3" s="101"/>
      <c r="L3" s="167"/>
      <c r="M3" s="167"/>
      <c r="N3" s="167"/>
      <c r="O3" s="167"/>
      <c r="P3" s="167"/>
      <c r="Q3" s="167"/>
      <c r="R3" s="167"/>
      <c r="S3" s="167"/>
      <c r="T3" s="100"/>
      <c r="U3" s="100"/>
      <c r="V3" s="100"/>
      <c r="Z3" s="100"/>
    </row>
    <row r="4" spans="1:79" s="99" customFormat="1" ht="52.5" customHeight="1" x14ac:dyDescent="0.3">
      <c r="A4" s="94"/>
      <c r="B4" s="125"/>
      <c r="C4" s="102"/>
      <c r="D4" s="103"/>
      <c r="E4" s="104"/>
      <c r="F4" s="105"/>
      <c r="G4" s="104"/>
      <c r="H4" s="104"/>
      <c r="I4" s="106"/>
      <c r="J4" s="101"/>
      <c r="K4" s="101"/>
      <c r="L4" s="167"/>
      <c r="M4" s="167"/>
      <c r="N4" s="167"/>
      <c r="O4" s="167"/>
      <c r="P4" s="167"/>
      <c r="Q4" s="167"/>
      <c r="R4" s="167"/>
      <c r="S4" s="167"/>
      <c r="T4" s="100">
        <f>I11-T7</f>
        <v>-1387460.6301300004</v>
      </c>
      <c r="U4" s="100">
        <f>J11-U7</f>
        <v>-2626107.7799999998</v>
      </c>
      <c r="V4" s="100">
        <f>K11-V7</f>
        <v>-2772759.58873</v>
      </c>
      <c r="Z4" s="100"/>
      <c r="AG4" s="106"/>
      <c r="AH4" s="175" t="s">
        <v>108</v>
      </c>
      <c r="AI4" s="175"/>
      <c r="AJ4" s="175"/>
      <c r="BL4" s="99" t="s">
        <v>176</v>
      </c>
    </row>
    <row r="5" spans="1:79" s="114" customFormat="1" ht="7.5" customHeight="1" x14ac:dyDescent="0.3">
      <c r="A5" s="107"/>
      <c r="B5" s="126"/>
      <c r="C5" s="108"/>
      <c r="D5" s="109"/>
      <c r="E5" s="110"/>
      <c r="F5" s="111"/>
      <c r="G5" s="110"/>
      <c r="H5" s="110"/>
      <c r="I5" s="112" t="e">
        <f>I11-I7</f>
        <v>#REF!</v>
      </c>
      <c r="J5" s="112" t="e">
        <f>J11-J7</f>
        <v>#REF!</v>
      </c>
      <c r="K5" s="112" t="e">
        <f>K11-K7</f>
        <v>#REF!</v>
      </c>
      <c r="L5" s="112"/>
      <c r="M5" s="112"/>
      <c r="N5" s="112"/>
      <c r="O5" s="112"/>
      <c r="P5" s="112"/>
      <c r="Q5" s="112"/>
      <c r="R5" s="112"/>
      <c r="S5" s="112" t="e">
        <f>S11-O7</f>
        <v>#VALUE!</v>
      </c>
      <c r="T5" s="113"/>
      <c r="U5" s="113"/>
      <c r="V5" s="113"/>
      <c r="Z5" s="113"/>
      <c r="AG5" s="115"/>
      <c r="AH5" s="116"/>
      <c r="AI5" s="116"/>
      <c r="AJ5" s="116"/>
    </row>
    <row r="6" spans="1:79" s="99" customFormat="1" ht="18" customHeight="1" x14ac:dyDescent="0.3">
      <c r="A6" s="94"/>
      <c r="B6" s="176" t="s">
        <v>293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00"/>
      <c r="U6" s="100"/>
      <c r="V6" s="100"/>
      <c r="Z6" s="100"/>
      <c r="AG6" s="117"/>
      <c r="AH6" s="118"/>
    </row>
    <row r="7" spans="1:79" s="114" customFormat="1" ht="16.5" customHeight="1" x14ac:dyDescent="0.3">
      <c r="A7" s="107"/>
      <c r="B7" s="127"/>
      <c r="C7" s="119"/>
      <c r="D7" s="120"/>
      <c r="E7" s="121"/>
      <c r="F7" s="122"/>
      <c r="G7" s="121"/>
      <c r="H7" s="121"/>
      <c r="I7" s="113" t="e">
        <f>#REF!+#REF!+#REF!+#REF!+#REF!+#REF!+I29</f>
        <v>#REF!</v>
      </c>
      <c r="J7" s="113" t="e">
        <f>#REF!+#REF!+#REF!+#REF!+#REF!+#REF!+J29</f>
        <v>#REF!</v>
      </c>
      <c r="K7" s="113" t="e">
        <f>#REF!+#REF!+#REF!+#REF!+#REF!+#REF!+K29</f>
        <v>#REF!</v>
      </c>
      <c r="L7" s="113"/>
      <c r="M7" s="113"/>
      <c r="N7" s="113"/>
      <c r="O7" s="170" t="s">
        <v>180</v>
      </c>
      <c r="P7" s="170"/>
      <c r="Q7" s="170"/>
      <c r="R7" s="170"/>
      <c r="S7" s="170"/>
      <c r="T7" s="113">
        <v>4138002.78</v>
      </c>
      <c r="U7" s="113">
        <v>3128686.38</v>
      </c>
      <c r="V7" s="113">
        <v>3282576.38</v>
      </c>
      <c r="Z7" s="113"/>
    </row>
    <row r="8" spans="1:79" ht="21.75" customHeight="1" x14ac:dyDescent="0.25">
      <c r="A8" s="171" t="s">
        <v>181</v>
      </c>
      <c r="B8" s="173" t="s">
        <v>0</v>
      </c>
      <c r="C8" s="171" t="s">
        <v>306</v>
      </c>
      <c r="D8" s="168" t="s">
        <v>294</v>
      </c>
      <c r="E8" s="166" t="s">
        <v>3</v>
      </c>
      <c r="F8" s="166"/>
      <c r="G8" s="166"/>
      <c r="H8" s="166"/>
      <c r="I8" s="166" t="s">
        <v>295</v>
      </c>
      <c r="J8" s="166"/>
      <c r="K8" s="166"/>
      <c r="L8" s="166"/>
      <c r="M8" s="166"/>
      <c r="N8" s="166"/>
      <c r="O8" s="166"/>
      <c r="P8" s="166"/>
      <c r="Q8" s="166"/>
      <c r="R8" s="166"/>
      <c r="S8" s="166"/>
      <c r="AG8" s="158" t="s">
        <v>152</v>
      </c>
      <c r="AH8" s="158"/>
      <c r="AI8" s="158"/>
      <c r="AJ8" s="158"/>
      <c r="BL8" s="44" t="e">
        <f>#REF!+#REF!+#REF!+#REF!+#REF!+#REF!+#REF!</f>
        <v>#REF!</v>
      </c>
      <c r="BM8" s="44" t="e">
        <f>#REF!+#REF!+#REF!+#REF!+#REF!+#REF!+#REF!</f>
        <v>#REF!</v>
      </c>
      <c r="BN8" s="44" t="e">
        <f>#REF!+#REF!+#REF!+#REF!+#REF!+#REF!+#REF!</f>
        <v>#REF!</v>
      </c>
    </row>
    <row r="9" spans="1:79" ht="72.75" customHeight="1" x14ac:dyDescent="0.25">
      <c r="A9" s="171"/>
      <c r="B9" s="173"/>
      <c r="C9" s="171"/>
      <c r="D9" s="168"/>
      <c r="E9" s="141" t="s">
        <v>5</v>
      </c>
      <c r="F9" s="142" t="s">
        <v>6</v>
      </c>
      <c r="G9" s="141" t="s">
        <v>7</v>
      </c>
      <c r="H9" s="141" t="s">
        <v>8</v>
      </c>
      <c r="I9" s="141">
        <v>2018</v>
      </c>
      <c r="J9" s="141">
        <v>2019</v>
      </c>
      <c r="K9" s="141">
        <v>2020</v>
      </c>
      <c r="L9" s="141">
        <v>2021</v>
      </c>
      <c r="M9" s="141">
        <v>2022</v>
      </c>
      <c r="N9" s="142">
        <v>2023</v>
      </c>
      <c r="O9" s="141">
        <v>2024</v>
      </c>
      <c r="P9" s="142">
        <v>2025</v>
      </c>
      <c r="Q9" s="141">
        <v>2026</v>
      </c>
      <c r="R9" s="142">
        <v>2027</v>
      </c>
      <c r="S9" s="141" t="s">
        <v>329</v>
      </c>
      <c r="AG9" s="141">
        <v>2016</v>
      </c>
      <c r="AH9" s="141">
        <v>2017</v>
      </c>
      <c r="AI9" s="141">
        <v>2018</v>
      </c>
      <c r="AJ9" s="141" t="s">
        <v>96</v>
      </c>
    </row>
    <row r="10" spans="1:79" x14ac:dyDescent="0.25">
      <c r="A10" s="146">
        <v>1</v>
      </c>
      <c r="B10" s="146">
        <v>2</v>
      </c>
      <c r="C10" s="141">
        <v>3</v>
      </c>
      <c r="D10" s="141">
        <v>4</v>
      </c>
      <c r="E10" s="142">
        <v>5</v>
      </c>
      <c r="F10" s="141">
        <v>6</v>
      </c>
      <c r="G10" s="141">
        <v>7</v>
      </c>
      <c r="H10" s="141">
        <v>8</v>
      </c>
      <c r="I10" s="141">
        <v>9</v>
      </c>
      <c r="J10" s="141">
        <v>10</v>
      </c>
      <c r="K10" s="141">
        <v>11</v>
      </c>
      <c r="L10" s="141">
        <v>12</v>
      </c>
      <c r="M10" s="141">
        <v>13</v>
      </c>
      <c r="N10" s="141">
        <v>14</v>
      </c>
      <c r="O10" s="141">
        <v>15</v>
      </c>
      <c r="P10" s="141">
        <v>16</v>
      </c>
      <c r="Q10" s="141">
        <v>17</v>
      </c>
      <c r="R10" s="141">
        <v>18</v>
      </c>
      <c r="S10" s="141">
        <v>19</v>
      </c>
      <c r="T10" s="90">
        <v>18</v>
      </c>
      <c r="U10" s="141">
        <v>19</v>
      </c>
      <c r="V10" s="141">
        <v>20</v>
      </c>
      <c r="W10" s="141">
        <v>21</v>
      </c>
      <c r="X10" s="141">
        <v>22</v>
      </c>
      <c r="Y10" s="141">
        <v>23</v>
      </c>
      <c r="Z10" s="141">
        <v>24</v>
      </c>
      <c r="AA10" s="141">
        <v>25</v>
      </c>
      <c r="AB10" s="141">
        <v>26</v>
      </c>
      <c r="AC10" s="141">
        <v>27</v>
      </c>
      <c r="AD10" s="141">
        <v>28</v>
      </c>
      <c r="AE10" s="141">
        <v>29</v>
      </c>
      <c r="AF10" s="141">
        <v>30</v>
      </c>
      <c r="AG10" s="141">
        <v>31</v>
      </c>
      <c r="AH10" s="141">
        <v>32</v>
      </c>
      <c r="AI10" s="141">
        <v>33</v>
      </c>
      <c r="AJ10" s="141">
        <v>34</v>
      </c>
      <c r="AK10" s="141">
        <v>35</v>
      </c>
      <c r="AL10" s="141">
        <v>36</v>
      </c>
      <c r="AM10" s="141">
        <v>37</v>
      </c>
      <c r="AN10" s="141">
        <v>38</v>
      </c>
    </row>
    <row r="11" spans="1:79" ht="21" x14ac:dyDescent="0.35">
      <c r="A11" s="172">
        <v>1</v>
      </c>
      <c r="B11" s="173" t="s">
        <v>9</v>
      </c>
      <c r="C11" s="171" t="s">
        <v>309</v>
      </c>
      <c r="D11" s="140" t="s">
        <v>10</v>
      </c>
      <c r="E11" s="141" t="s">
        <v>74</v>
      </c>
      <c r="F11" s="142" t="s">
        <v>74</v>
      </c>
      <c r="G11" s="141">
        <v>1300000000</v>
      </c>
      <c r="H11" s="141" t="s">
        <v>74</v>
      </c>
      <c r="I11" s="33">
        <f>SUM(I20:I21)+I12+I16+I14</f>
        <v>2750542.1498699994</v>
      </c>
      <c r="J11" s="33">
        <f>SUM(J20:J21)+J12+J16+J15</f>
        <v>502578.6</v>
      </c>
      <c r="K11" s="33">
        <f>SUM(K20:K21)+K12+K17+K15+K14+K19</f>
        <v>509816.79127000005</v>
      </c>
      <c r="L11" s="33">
        <f>SUM(L20:L21)+L12+L17+L14+L19</f>
        <v>600046.02</v>
      </c>
      <c r="M11" s="33">
        <f>SUM(M20:M21)+M12+M17+M14</f>
        <v>589518.53</v>
      </c>
      <c r="N11" s="33">
        <f>SUM(N12:N21)</f>
        <v>593563.94000000006</v>
      </c>
      <c r="O11" s="33">
        <f>SUM(O20:O21)+O13+O18+O14+O19</f>
        <v>860018.29799999995</v>
      </c>
      <c r="P11" s="33">
        <f>SUM(P20:P21)+P13+P18+P14+P19</f>
        <v>1662590.03917</v>
      </c>
      <c r="Q11" s="33">
        <f>SUM(Q20:Q21)+Q13+Q18+Q14+Q19</f>
        <v>906411.54403999995</v>
      </c>
      <c r="R11" s="33">
        <f>SUM(R20:R21)+R13+R18+R14+R19</f>
        <v>892271.34404000011</v>
      </c>
      <c r="S11" s="33">
        <f>SUM(I11:R11)-0.01</f>
        <v>9867357.24639</v>
      </c>
      <c r="V11" s="46" t="e">
        <f>I11-#REF!+#REF!</f>
        <v>#REF!</v>
      </c>
      <c r="W11" s="46" t="e">
        <f>J11-#REF!+#REF!</f>
        <v>#REF!</v>
      </c>
      <c r="X11" s="46" t="e">
        <f>K11-#REF!+#REF!</f>
        <v>#REF!</v>
      </c>
      <c r="Y11" s="46" t="e">
        <f>S11-#REF!+#REF!</f>
        <v>#REF!</v>
      </c>
      <c r="Z11" s="46"/>
      <c r="AG11" s="33" t="e">
        <f>SUM(AG20:AG21)</f>
        <v>#REF!</v>
      </c>
      <c r="AH11" s="33" t="e">
        <f>SUM(AH20:AH21)</f>
        <v>#REF!</v>
      </c>
      <c r="AI11" s="33" t="e">
        <f>SUM(AI20:AI21)</f>
        <v>#REF!</v>
      </c>
      <c r="AJ11" s="33" t="e">
        <f>SUM(AG11:AI11)</f>
        <v>#REF!</v>
      </c>
      <c r="AM11" s="44" t="e">
        <f>I11-AG11</f>
        <v>#REF!</v>
      </c>
      <c r="AO11" s="35">
        <f>0.15+0.6+0.79+0.02+0.53+0.32+0.3+0.01+0.86</f>
        <v>3.5799999999999992</v>
      </c>
      <c r="AP11" s="33">
        <f>0.34+0.33+0.97+0.51+0.15+0.66+0.52+0.86</f>
        <v>4.3400000000000007</v>
      </c>
      <c r="AQ11" s="47"/>
      <c r="AR11" s="44"/>
      <c r="AU11" s="44">
        <f>514412.32-J11</f>
        <v>11833.72000000003</v>
      </c>
      <c r="AV11" s="44" t="e">
        <f>#REF!+#REF!+#REF!+#REF!+#REF!+#REF!+S29</f>
        <v>#REF!</v>
      </c>
      <c r="BL11" s="44" t="e">
        <f>#REF!-BL8</f>
        <v>#REF!</v>
      </c>
      <c r="BM11" s="44" t="e">
        <f>#REF!-BM8</f>
        <v>#REF!</v>
      </c>
      <c r="BN11" s="44" t="e">
        <f>#REF!-BN8</f>
        <v>#REF!</v>
      </c>
    </row>
    <row r="12" spans="1:79" ht="56.25" x14ac:dyDescent="0.35">
      <c r="A12" s="172"/>
      <c r="B12" s="173"/>
      <c r="C12" s="171"/>
      <c r="D12" s="140" t="s">
        <v>11</v>
      </c>
      <c r="E12" s="141">
        <v>915</v>
      </c>
      <c r="F12" s="142" t="s">
        <v>74</v>
      </c>
      <c r="G12" s="142" t="s">
        <v>74</v>
      </c>
      <c r="H12" s="142" t="s">
        <v>74</v>
      </c>
      <c r="I12" s="33">
        <f t="shared" ref="I12:N12" si="0">I520+I599+I30</f>
        <v>2184020.7598699997</v>
      </c>
      <c r="J12" s="33">
        <f t="shared" si="0"/>
        <v>281796.44</v>
      </c>
      <c r="K12" s="33">
        <f t="shared" si="0"/>
        <v>307417.42000000004</v>
      </c>
      <c r="L12" s="33">
        <f t="shared" si="0"/>
        <v>301789.49999999994</v>
      </c>
      <c r="M12" s="33">
        <f t="shared" si="0"/>
        <v>309662.10000000003</v>
      </c>
      <c r="N12" s="33">
        <f t="shared" si="0"/>
        <v>255632.82</v>
      </c>
      <c r="O12" s="33">
        <v>0</v>
      </c>
      <c r="P12" s="33">
        <v>0</v>
      </c>
      <c r="Q12" s="33">
        <v>0</v>
      </c>
      <c r="R12" s="33">
        <v>0</v>
      </c>
      <c r="S12" s="33">
        <f t="shared" ref="S12:S40" si="1">SUM(I12:R12)</f>
        <v>3640319.0398699995</v>
      </c>
      <c r="V12" s="46"/>
      <c r="W12" s="46"/>
      <c r="X12" s="46"/>
      <c r="Y12" s="46"/>
      <c r="Z12" s="46"/>
      <c r="AG12" s="33"/>
      <c r="AH12" s="33"/>
      <c r="AI12" s="33"/>
      <c r="AJ12" s="33"/>
      <c r="AM12" s="44"/>
      <c r="AO12" s="44">
        <f>0.76+0.44+0.42+0.5+0.1+0.32+0.67+0.9</f>
        <v>4.1100000000000003</v>
      </c>
      <c r="AQ12" s="47"/>
      <c r="AR12" s="44"/>
      <c r="AU12" s="44">
        <f>274192.1-J12</f>
        <v>-7604.3400000000256</v>
      </c>
      <c r="AV12" s="44"/>
      <c r="BL12" s="44"/>
      <c r="BM12" s="44"/>
      <c r="BN12" s="44"/>
      <c r="CA12" s="44">
        <f>L12-K12</f>
        <v>-5627.9200000001001</v>
      </c>
    </row>
    <row r="13" spans="1:79" ht="56.25" x14ac:dyDescent="0.35">
      <c r="A13" s="172"/>
      <c r="B13" s="173"/>
      <c r="C13" s="171"/>
      <c r="D13" s="140" t="s">
        <v>321</v>
      </c>
      <c r="E13" s="141">
        <v>915</v>
      </c>
      <c r="F13" s="142" t="s">
        <v>74</v>
      </c>
      <c r="G13" s="142" t="s">
        <v>74</v>
      </c>
      <c r="H13" s="142" t="s">
        <v>74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f>O520+O600+O31</f>
        <v>400349.38899999997</v>
      </c>
      <c r="P13" s="33">
        <f>P520+P600+P31</f>
        <v>1210040.0071699999</v>
      </c>
      <c r="Q13" s="33">
        <f>Q520+Q600+Q31</f>
        <v>686800.20403999998</v>
      </c>
      <c r="R13" s="33">
        <f>R520+R600+R31</f>
        <v>676902.06404000008</v>
      </c>
      <c r="S13" s="33">
        <f t="shared" si="1"/>
        <v>2974091.6642499999</v>
      </c>
      <c r="V13" s="46"/>
      <c r="W13" s="46"/>
      <c r="X13" s="46"/>
      <c r="Y13" s="46"/>
      <c r="Z13" s="46"/>
      <c r="AG13" s="33"/>
      <c r="AH13" s="33"/>
      <c r="AI13" s="33"/>
      <c r="AJ13" s="33"/>
      <c r="AM13" s="44"/>
      <c r="AO13" s="44"/>
      <c r="AQ13" s="47"/>
      <c r="AR13" s="44"/>
      <c r="AU13" s="44"/>
      <c r="AV13" s="44"/>
      <c r="BL13" s="44"/>
      <c r="BM13" s="44"/>
      <c r="BN13" s="44"/>
      <c r="CA13" s="44"/>
    </row>
    <row r="14" spans="1:79" ht="37.5" x14ac:dyDescent="0.35">
      <c r="A14" s="172"/>
      <c r="B14" s="173"/>
      <c r="C14" s="171"/>
      <c r="D14" s="140" t="s">
        <v>252</v>
      </c>
      <c r="E14" s="141">
        <v>900</v>
      </c>
      <c r="F14" s="142" t="s">
        <v>74</v>
      </c>
      <c r="G14" s="142" t="s">
        <v>74</v>
      </c>
      <c r="H14" s="142" t="s">
        <v>74</v>
      </c>
      <c r="I14" s="33">
        <f>I521+I701</f>
        <v>200475.03</v>
      </c>
      <c r="J14" s="33">
        <v>0</v>
      </c>
      <c r="K14" s="33">
        <v>0</v>
      </c>
      <c r="L14" s="33">
        <f>L521+L701</f>
        <v>0</v>
      </c>
      <c r="M14" s="33">
        <f>M521+M701</f>
        <v>0</v>
      </c>
      <c r="N14" s="33">
        <f>N521+N701</f>
        <v>0</v>
      </c>
      <c r="O14" s="33">
        <f>O521+O701</f>
        <v>0</v>
      </c>
      <c r="P14" s="33">
        <f>P521+P701</f>
        <v>0</v>
      </c>
      <c r="Q14" s="33">
        <v>0</v>
      </c>
      <c r="R14" s="33">
        <v>0</v>
      </c>
      <c r="S14" s="33">
        <f t="shared" si="1"/>
        <v>200475.03</v>
      </c>
      <c r="V14" s="46"/>
      <c r="W14" s="46"/>
      <c r="X14" s="46"/>
      <c r="Y14" s="46"/>
      <c r="Z14" s="46"/>
      <c r="AG14" s="33"/>
      <c r="AH14" s="33"/>
      <c r="AI14" s="33"/>
      <c r="AJ14" s="33"/>
      <c r="AM14" s="44"/>
      <c r="AQ14" s="47"/>
      <c r="AR14" s="44"/>
      <c r="AV14" s="44"/>
      <c r="BL14" s="44"/>
      <c r="BM14" s="44"/>
      <c r="BN14" s="44"/>
    </row>
    <row r="15" spans="1:79" ht="56.25" x14ac:dyDescent="0.35">
      <c r="A15" s="172"/>
      <c r="B15" s="173"/>
      <c r="C15" s="171"/>
      <c r="D15" s="140" t="s">
        <v>250</v>
      </c>
      <c r="E15" s="141">
        <v>900</v>
      </c>
      <c r="F15" s="142" t="s">
        <v>74</v>
      </c>
      <c r="G15" s="142" t="s">
        <v>74</v>
      </c>
      <c r="H15" s="142" t="s">
        <v>74</v>
      </c>
      <c r="I15" s="33">
        <v>0</v>
      </c>
      <c r="J15" s="33">
        <f>J522+J701</f>
        <v>4999.9399999999996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f t="shared" si="1"/>
        <v>4999.9399999999996</v>
      </c>
      <c r="V15" s="46"/>
      <c r="W15" s="46"/>
      <c r="X15" s="46"/>
      <c r="Y15" s="46"/>
      <c r="Z15" s="46"/>
      <c r="AG15" s="33"/>
      <c r="AH15" s="33"/>
      <c r="AI15" s="33"/>
      <c r="AJ15" s="33"/>
      <c r="AM15" s="44"/>
      <c r="AQ15" s="47"/>
      <c r="AR15" s="44"/>
      <c r="AV15" s="44"/>
      <c r="BL15" s="44"/>
      <c r="BM15" s="44"/>
      <c r="BN15" s="44"/>
    </row>
    <row r="16" spans="1:79" ht="56.25" x14ac:dyDescent="0.35">
      <c r="A16" s="172"/>
      <c r="B16" s="173"/>
      <c r="C16" s="171"/>
      <c r="D16" s="140" t="s">
        <v>199</v>
      </c>
      <c r="E16" s="141">
        <v>908</v>
      </c>
      <c r="F16" s="142" t="s">
        <v>74</v>
      </c>
      <c r="G16" s="142" t="s">
        <v>74</v>
      </c>
      <c r="H16" s="142" t="s">
        <v>74</v>
      </c>
      <c r="I16" s="33">
        <f>I523+I601</f>
        <v>10250</v>
      </c>
      <c r="J16" s="33">
        <f>J523+J601</f>
        <v>1100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f t="shared" si="1"/>
        <v>11350</v>
      </c>
      <c r="V16" s="46"/>
      <c r="W16" s="46"/>
      <c r="X16" s="46"/>
      <c r="Y16" s="46"/>
      <c r="Z16" s="46"/>
      <c r="AG16" s="33"/>
      <c r="AH16" s="33"/>
      <c r="AI16" s="33"/>
      <c r="AJ16" s="33"/>
      <c r="AM16" s="44"/>
      <c r="AQ16" s="47"/>
      <c r="AR16" s="44"/>
      <c r="AV16" s="44"/>
      <c r="BL16" s="44"/>
      <c r="BM16" s="44"/>
      <c r="BN16" s="44"/>
    </row>
    <row r="17" spans="1:88" ht="79.5" customHeight="1" x14ac:dyDescent="0.35">
      <c r="A17" s="172"/>
      <c r="B17" s="173"/>
      <c r="C17" s="171"/>
      <c r="D17" s="140" t="s">
        <v>256</v>
      </c>
      <c r="E17" s="141">
        <v>908</v>
      </c>
      <c r="F17" s="142" t="s">
        <v>74</v>
      </c>
      <c r="G17" s="142" t="s">
        <v>74</v>
      </c>
      <c r="H17" s="142" t="s">
        <v>74</v>
      </c>
      <c r="I17" s="33">
        <v>0</v>
      </c>
      <c r="J17" s="33">
        <v>0</v>
      </c>
      <c r="K17" s="33">
        <f>K523+K602</f>
        <v>1849</v>
      </c>
      <c r="L17" s="33">
        <f>L523+L602</f>
        <v>1100</v>
      </c>
      <c r="M17" s="33">
        <f>M523+M602</f>
        <v>3000</v>
      </c>
      <c r="N17" s="33">
        <f>N523+N602</f>
        <v>2000</v>
      </c>
      <c r="O17" s="33">
        <v>0</v>
      </c>
      <c r="P17" s="33">
        <v>0</v>
      </c>
      <c r="Q17" s="33">
        <v>0</v>
      </c>
      <c r="R17" s="33">
        <v>0</v>
      </c>
      <c r="S17" s="33">
        <f t="shared" si="1"/>
        <v>7949</v>
      </c>
      <c r="V17" s="46"/>
      <c r="W17" s="46"/>
      <c r="X17" s="46"/>
      <c r="Y17" s="46"/>
      <c r="Z17" s="46"/>
      <c r="AG17" s="33"/>
      <c r="AH17" s="33"/>
      <c r="AI17" s="33"/>
      <c r="AJ17" s="33"/>
      <c r="AM17" s="44"/>
      <c r="AQ17" s="47"/>
      <c r="AR17" s="44"/>
      <c r="AV17" s="44"/>
      <c r="BL17" s="44"/>
      <c r="BM17" s="44"/>
      <c r="BN17" s="44"/>
    </row>
    <row r="18" spans="1:88" ht="60.75" customHeight="1" x14ac:dyDescent="0.35">
      <c r="A18" s="172"/>
      <c r="B18" s="173"/>
      <c r="C18" s="171"/>
      <c r="D18" s="140" t="s">
        <v>323</v>
      </c>
      <c r="E18" s="141">
        <v>908</v>
      </c>
      <c r="F18" s="142"/>
      <c r="G18" s="142"/>
      <c r="H18" s="142"/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f>O523+O603</f>
        <v>2000</v>
      </c>
      <c r="P18" s="33">
        <f>P523+P603</f>
        <v>2000</v>
      </c>
      <c r="Q18" s="33">
        <f>Q523+Q603</f>
        <v>2000</v>
      </c>
      <c r="R18" s="33">
        <f>R523+R603</f>
        <v>2000</v>
      </c>
      <c r="S18" s="33">
        <f t="shared" si="1"/>
        <v>8000</v>
      </c>
      <c r="V18" s="46"/>
      <c r="W18" s="46"/>
      <c r="X18" s="46"/>
      <c r="Y18" s="46"/>
      <c r="Z18" s="46"/>
      <c r="AG18" s="33"/>
      <c r="AH18" s="33"/>
      <c r="AI18" s="33"/>
      <c r="AJ18" s="33"/>
      <c r="AM18" s="44"/>
      <c r="AQ18" s="47"/>
      <c r="AR18" s="44"/>
      <c r="AV18" s="44"/>
      <c r="BL18" s="44"/>
      <c r="BM18" s="44"/>
      <c r="BN18" s="44"/>
    </row>
    <row r="19" spans="1:88" ht="48" customHeight="1" x14ac:dyDescent="0.35">
      <c r="A19" s="172"/>
      <c r="B19" s="173"/>
      <c r="C19" s="171"/>
      <c r="D19" s="140" t="s">
        <v>162</v>
      </c>
      <c r="E19" s="141">
        <v>911</v>
      </c>
      <c r="F19" s="142" t="s">
        <v>74</v>
      </c>
      <c r="G19" s="142" t="s">
        <v>74</v>
      </c>
      <c r="H19" s="142" t="s">
        <v>74</v>
      </c>
      <c r="I19" s="33">
        <v>0</v>
      </c>
      <c r="J19" s="33">
        <v>0</v>
      </c>
      <c r="K19" s="33">
        <f>K32</f>
        <v>10000</v>
      </c>
      <c r="L19" s="33">
        <f t="shared" ref="L19:R19" si="2">L32</f>
        <v>50000</v>
      </c>
      <c r="M19" s="33">
        <f t="shared" si="2"/>
        <v>0</v>
      </c>
      <c r="N19" s="33">
        <f t="shared" si="2"/>
        <v>43000</v>
      </c>
      <c r="O19" s="33">
        <f t="shared" si="2"/>
        <v>126010.101</v>
      </c>
      <c r="P19" s="33">
        <f t="shared" si="2"/>
        <v>151515.152</v>
      </c>
      <c r="Q19" s="33">
        <f t="shared" si="2"/>
        <v>0</v>
      </c>
      <c r="R19" s="33">
        <f t="shared" si="2"/>
        <v>0</v>
      </c>
      <c r="S19" s="33">
        <f>SUM(I19:R19)</f>
        <v>380525.25300000003</v>
      </c>
      <c r="V19" s="46"/>
      <c r="W19" s="46"/>
      <c r="X19" s="46"/>
      <c r="Y19" s="46"/>
      <c r="Z19" s="46"/>
      <c r="AG19" s="33"/>
      <c r="AH19" s="33"/>
      <c r="AI19" s="33"/>
      <c r="AJ19" s="33"/>
      <c r="AM19" s="44"/>
      <c r="AQ19" s="47"/>
      <c r="AR19" s="44"/>
      <c r="AV19" s="44"/>
      <c r="BL19" s="44"/>
      <c r="BM19" s="44"/>
      <c r="BN19" s="44"/>
    </row>
    <row r="20" spans="1:88" ht="78" customHeight="1" x14ac:dyDescent="0.25">
      <c r="A20" s="172"/>
      <c r="B20" s="173"/>
      <c r="C20" s="171"/>
      <c r="D20" s="140" t="s">
        <v>174</v>
      </c>
      <c r="E20" s="141">
        <v>918</v>
      </c>
      <c r="F20" s="142" t="s">
        <v>74</v>
      </c>
      <c r="G20" s="142" t="s">
        <v>74</v>
      </c>
      <c r="H20" s="142" t="s">
        <v>74</v>
      </c>
      <c r="I20" s="33">
        <f t="shared" ref="I20:N20" si="3">I524</f>
        <v>12500</v>
      </c>
      <c r="J20" s="33">
        <f t="shared" si="3"/>
        <v>6770.59</v>
      </c>
      <c r="K20" s="33">
        <f t="shared" si="3"/>
        <v>0</v>
      </c>
      <c r="L20" s="33">
        <f t="shared" si="3"/>
        <v>0</v>
      </c>
      <c r="M20" s="33">
        <f t="shared" si="3"/>
        <v>0</v>
      </c>
      <c r="N20" s="33">
        <f t="shared" si="3"/>
        <v>0</v>
      </c>
      <c r="O20" s="33">
        <f>O524</f>
        <v>0</v>
      </c>
      <c r="P20" s="33">
        <f>P524</f>
        <v>0</v>
      </c>
      <c r="Q20" s="33">
        <v>0</v>
      </c>
      <c r="R20" s="33">
        <v>0</v>
      </c>
      <c r="S20" s="33">
        <f t="shared" si="1"/>
        <v>19270.59</v>
      </c>
      <c r="AG20" s="33"/>
      <c r="AH20" s="33"/>
      <c r="AI20" s="33"/>
      <c r="AJ20" s="33"/>
      <c r="AM20" s="44"/>
      <c r="AQ20" s="44"/>
      <c r="AR20" s="44"/>
      <c r="AS20" s="44"/>
    </row>
    <row r="21" spans="1:88" ht="73.5" customHeight="1" x14ac:dyDescent="0.25">
      <c r="A21" s="172"/>
      <c r="B21" s="173"/>
      <c r="C21" s="171"/>
      <c r="D21" s="140" t="s">
        <v>13</v>
      </c>
      <c r="E21" s="142" t="s">
        <v>53</v>
      </c>
      <c r="F21" s="142" t="s">
        <v>74</v>
      </c>
      <c r="G21" s="142" t="s">
        <v>74</v>
      </c>
      <c r="H21" s="142" t="s">
        <v>74</v>
      </c>
      <c r="I21" s="33">
        <f t="shared" ref="I21:R21" si="4">SUM(I22:I28)</f>
        <v>343296.36</v>
      </c>
      <c r="J21" s="33">
        <f t="shared" si="4"/>
        <v>207911.62999999998</v>
      </c>
      <c r="K21" s="33">
        <f t="shared" si="4"/>
        <v>190550.37126999997</v>
      </c>
      <c r="L21" s="33">
        <f t="shared" si="4"/>
        <v>247156.52000000002</v>
      </c>
      <c r="M21" s="33">
        <f t="shared" si="4"/>
        <v>276856.43</v>
      </c>
      <c r="N21" s="33">
        <f t="shared" si="4"/>
        <v>292931.12000000005</v>
      </c>
      <c r="O21" s="33">
        <f t="shared" si="4"/>
        <v>331658.80800000002</v>
      </c>
      <c r="P21" s="33">
        <f t="shared" si="4"/>
        <v>299034.88</v>
      </c>
      <c r="Q21" s="33">
        <f t="shared" si="4"/>
        <v>217611.33999999997</v>
      </c>
      <c r="R21" s="33">
        <f t="shared" si="4"/>
        <v>213369.28000000003</v>
      </c>
      <c r="S21" s="33">
        <f t="shared" si="1"/>
        <v>2620376.7392699998</v>
      </c>
      <c r="AG21" s="33" t="e">
        <f>SUM(AG22:AG28)</f>
        <v>#REF!</v>
      </c>
      <c r="AH21" s="33" t="e">
        <f>SUM(AH22:AH28)</f>
        <v>#REF!</v>
      </c>
      <c r="AI21" s="33" t="e">
        <f>SUM(AI22:AI28)</f>
        <v>#REF!</v>
      </c>
      <c r="AJ21" s="33" t="e">
        <f t="shared" ref="AJ21:AJ28" si="5">SUM(AG21:AI21)</f>
        <v>#REF!</v>
      </c>
      <c r="AM21" s="44" t="e">
        <f t="shared" ref="AM21:AM30" si="6">I21-AG21</f>
        <v>#REF!</v>
      </c>
      <c r="AO21" s="35">
        <f>0.45+0.36+0.88+0.33+0.95+0.34+0.85+0.96</f>
        <v>5.1199999999999992</v>
      </c>
      <c r="AQ21" s="44" t="e">
        <f>#REF!-#REF!</f>
        <v>#REF!</v>
      </c>
      <c r="AR21" s="44" t="e">
        <f>#REF!-#REF!</f>
        <v>#REF!</v>
      </c>
      <c r="AS21" s="44" t="e">
        <f>#REF!-#REF!</f>
        <v>#REF!</v>
      </c>
      <c r="CA21" s="44">
        <v>1524576</v>
      </c>
      <c r="CD21" s="35">
        <f>CD22+CD23+CD24+CD25+CD26+CD27+CD28</f>
        <v>1063752</v>
      </c>
      <c r="CG21" s="35">
        <v>1000</v>
      </c>
    </row>
    <row r="22" spans="1:88" ht="56.25" x14ac:dyDescent="0.3">
      <c r="A22" s="172"/>
      <c r="B22" s="173"/>
      <c r="C22" s="171"/>
      <c r="D22" s="140" t="s">
        <v>14</v>
      </c>
      <c r="E22" s="141">
        <v>919</v>
      </c>
      <c r="F22" s="142" t="s">
        <v>74</v>
      </c>
      <c r="G22" s="142" t="s">
        <v>74</v>
      </c>
      <c r="H22" s="142" t="s">
        <v>74</v>
      </c>
      <c r="I22" s="33">
        <f>I34+I707+I605</f>
        <v>32317.690000000002</v>
      </c>
      <c r="J22" s="33">
        <f>J34+J707+J605</f>
        <v>25646.400000000001</v>
      </c>
      <c r="K22" s="33">
        <f>K34+K707+K605</f>
        <v>28540.340489999999</v>
      </c>
      <c r="L22" s="33">
        <f>L34+L707+L605</f>
        <v>29004.959999999999</v>
      </c>
      <c r="M22" s="33">
        <f>M34+M725+M605</f>
        <v>33562.850000000006</v>
      </c>
      <c r="N22" s="33">
        <f>N34+N708+N605</f>
        <v>32942.550000000003</v>
      </c>
      <c r="O22" s="33">
        <f>O34+O708+O605</f>
        <v>39020.025999999998</v>
      </c>
      <c r="P22" s="33">
        <f>P34+P708+P605</f>
        <v>32563.97</v>
      </c>
      <c r="Q22" s="33">
        <f>Q34+Q708+Q605</f>
        <v>26387.33</v>
      </c>
      <c r="R22" s="33">
        <f>R34+R708+R605</f>
        <v>25781.33</v>
      </c>
      <c r="S22" s="33">
        <f t="shared" si="1"/>
        <v>305767.44649</v>
      </c>
      <c r="AG22" s="33" t="e">
        <f>#REF!+#REF!+#REF!</f>
        <v>#REF!</v>
      </c>
      <c r="AH22" s="33" t="e">
        <f>#REF!+#REF!+#REF!</f>
        <v>#REF!</v>
      </c>
      <c r="AI22" s="33" t="e">
        <f>#REF!+#REF!+#REF!</f>
        <v>#REF!</v>
      </c>
      <c r="AJ22" s="33" t="e">
        <f t="shared" si="5"/>
        <v>#REF!</v>
      </c>
      <c r="AM22" s="44" t="e">
        <f t="shared" si="6"/>
        <v>#REF!</v>
      </c>
      <c r="AU22" s="35">
        <f t="shared" ref="AU22:AU28" si="7">L22/$L$21</f>
        <v>0.11735462208320459</v>
      </c>
      <c r="CA22" s="44"/>
      <c r="CB22" s="44">
        <f>AU22*$CA$21</f>
        <v>178916.04031712373</v>
      </c>
      <c r="CD22" s="35">
        <v>100000</v>
      </c>
      <c r="CE22" s="48">
        <f>CD22/CD21*100</f>
        <v>9.4006873782610985</v>
      </c>
      <c r="CF22" s="49">
        <f>CA21*CE22/100</f>
        <v>143320.62360399793</v>
      </c>
      <c r="CG22" s="35">
        <v>1000</v>
      </c>
      <c r="CI22" s="48">
        <f>CF22/CG22</f>
        <v>143.32062360399792</v>
      </c>
      <c r="CJ22" s="50">
        <v>143.32</v>
      </c>
    </row>
    <row r="23" spans="1:88" ht="62.25" customHeight="1" x14ac:dyDescent="0.3">
      <c r="A23" s="172"/>
      <c r="B23" s="173"/>
      <c r="C23" s="171"/>
      <c r="D23" s="140" t="s">
        <v>15</v>
      </c>
      <c r="E23" s="141">
        <v>922</v>
      </c>
      <c r="F23" s="142" t="s">
        <v>74</v>
      </c>
      <c r="G23" s="142" t="s">
        <v>74</v>
      </c>
      <c r="H23" s="142" t="s">
        <v>74</v>
      </c>
      <c r="I23" s="33">
        <f>I35+I709+I606</f>
        <v>41462.990000000005</v>
      </c>
      <c r="J23" s="33">
        <f>J35+J709+J606</f>
        <v>35988.53</v>
      </c>
      <c r="K23" s="33">
        <f>K35+K709+K606</f>
        <v>21346.32</v>
      </c>
      <c r="L23" s="33">
        <f>L35+L709+L606</f>
        <v>32219.899999999998</v>
      </c>
      <c r="M23" s="33">
        <f>M35+M726+M606+M710</f>
        <v>44502.76</v>
      </c>
      <c r="N23" s="33">
        <f>N35+N710+N606</f>
        <v>42270.44</v>
      </c>
      <c r="O23" s="33">
        <f>O35+O710+O606</f>
        <v>51337.770000000004</v>
      </c>
      <c r="P23" s="33">
        <f>P35+P710+P606</f>
        <v>40038.04</v>
      </c>
      <c r="Q23" s="33">
        <f>Q35+Q710+Q606</f>
        <v>28987.33</v>
      </c>
      <c r="R23" s="33">
        <f>R35+R710+R606</f>
        <v>28381.33</v>
      </c>
      <c r="S23" s="33">
        <f t="shared" si="1"/>
        <v>366535.41000000003</v>
      </c>
      <c r="AG23" s="33" t="e">
        <f>#REF!+#REF!+#REF!</f>
        <v>#REF!</v>
      </c>
      <c r="AH23" s="33" t="e">
        <f>#REF!+#REF!+#REF!</f>
        <v>#REF!</v>
      </c>
      <c r="AI23" s="33" t="e">
        <f>#REF!+#REF!+#REF!</f>
        <v>#REF!</v>
      </c>
      <c r="AJ23" s="33" t="e">
        <f t="shared" si="5"/>
        <v>#REF!</v>
      </c>
      <c r="AM23" s="44" t="e">
        <f t="shared" si="6"/>
        <v>#REF!</v>
      </c>
      <c r="AU23" s="35">
        <f t="shared" si="7"/>
        <v>0.13036233072062997</v>
      </c>
      <c r="BE23" s="51" t="s">
        <v>154</v>
      </c>
      <c r="CA23" s="44"/>
      <c r="CB23" s="44">
        <f t="shared" ref="CB23:CB28" si="8">AU23*$CA$21</f>
        <v>198747.28072073517</v>
      </c>
      <c r="CD23" s="35">
        <v>117800</v>
      </c>
      <c r="CE23" s="48">
        <f>CD23/CD21*100</f>
        <v>11.074009731591573</v>
      </c>
      <c r="CF23" s="49">
        <f>CA21*CE23/100</f>
        <v>168831.69460550952</v>
      </c>
      <c r="CG23" s="35">
        <v>1000</v>
      </c>
      <c r="CI23" s="48">
        <f t="shared" ref="CI23:CI28" si="9">CF23/CG23</f>
        <v>168.83169460550951</v>
      </c>
      <c r="CJ23" s="50">
        <v>168.83</v>
      </c>
    </row>
    <row r="24" spans="1:88" ht="56.25" x14ac:dyDescent="0.3">
      <c r="A24" s="172"/>
      <c r="B24" s="173"/>
      <c r="C24" s="171"/>
      <c r="D24" s="140" t="s">
        <v>16</v>
      </c>
      <c r="E24" s="141">
        <v>925</v>
      </c>
      <c r="F24" s="142" t="s">
        <v>74</v>
      </c>
      <c r="G24" s="142" t="s">
        <v>74</v>
      </c>
      <c r="H24" s="142" t="s">
        <v>74</v>
      </c>
      <c r="I24" s="33">
        <f>I36+I711+I607-0.01</f>
        <v>47894.44999999999</v>
      </c>
      <c r="J24" s="33">
        <f>J36+J711+J607</f>
        <v>44083.619999999995</v>
      </c>
      <c r="K24" s="33">
        <f>K36+K711+K607</f>
        <v>23673.275880000001</v>
      </c>
      <c r="L24" s="33">
        <f>L36+L711+L607</f>
        <v>35056.03</v>
      </c>
      <c r="M24" s="33">
        <f>M36+M727+M607</f>
        <v>24088.37</v>
      </c>
      <c r="N24" s="33">
        <f>N36+N714+N607</f>
        <v>29827.85</v>
      </c>
      <c r="O24" s="33">
        <f>O36+O714+O607</f>
        <v>30427.809999999998</v>
      </c>
      <c r="P24" s="33">
        <f>P36+P714+P607</f>
        <v>32106.22</v>
      </c>
      <c r="Q24" s="33">
        <f>Q36+Q714+Q607</f>
        <v>31487.34</v>
      </c>
      <c r="R24" s="33">
        <f>R36+R714+R607</f>
        <v>30881.33</v>
      </c>
      <c r="S24" s="33">
        <f t="shared" si="1"/>
        <v>329526.29587999999</v>
      </c>
      <c r="AG24" s="33" t="e">
        <f>#REF!+#REF!+#REF!-0.01</f>
        <v>#REF!</v>
      </c>
      <c r="AH24" s="33" t="e">
        <f>#REF!+#REF!+#REF!</f>
        <v>#REF!</v>
      </c>
      <c r="AI24" s="33" t="e">
        <f>#REF!+#REF!+#REF!</f>
        <v>#REF!</v>
      </c>
      <c r="AJ24" s="33" t="e">
        <f t="shared" si="5"/>
        <v>#REF!</v>
      </c>
      <c r="AM24" s="44" t="e">
        <f t="shared" si="6"/>
        <v>#REF!</v>
      </c>
      <c r="AU24" s="35">
        <f t="shared" si="7"/>
        <v>0.14183736686371856</v>
      </c>
      <c r="CA24" s="44"/>
      <c r="CB24" s="44">
        <f t="shared" si="8"/>
        <v>216241.8454236206</v>
      </c>
      <c r="CD24" s="35">
        <v>148300</v>
      </c>
      <c r="CE24" s="48">
        <f>CD24/CD21*100</f>
        <v>13.94121938196121</v>
      </c>
      <c r="CF24" s="49">
        <f>CE24*CA21/100</f>
        <v>212544.48480472891</v>
      </c>
      <c r="CG24" s="35">
        <v>1000</v>
      </c>
      <c r="CI24" s="48">
        <f t="shared" si="9"/>
        <v>212.54448480472891</v>
      </c>
      <c r="CJ24" s="50">
        <v>212.54</v>
      </c>
    </row>
    <row r="25" spans="1:88" ht="56.25" x14ac:dyDescent="0.3">
      <c r="A25" s="172"/>
      <c r="B25" s="173"/>
      <c r="C25" s="171"/>
      <c r="D25" s="140" t="s">
        <v>17</v>
      </c>
      <c r="E25" s="141">
        <v>928</v>
      </c>
      <c r="F25" s="142" t="s">
        <v>74</v>
      </c>
      <c r="G25" s="142" t="s">
        <v>74</v>
      </c>
      <c r="H25" s="142" t="s">
        <v>74</v>
      </c>
      <c r="I25" s="33">
        <f>I37+I715+I608</f>
        <v>51048.850000000006</v>
      </c>
      <c r="J25" s="33">
        <f>J37+J715+J608</f>
        <v>26539.379999999997</v>
      </c>
      <c r="K25" s="33">
        <f>K37+K715+K608</f>
        <v>22949.032279999999</v>
      </c>
      <c r="L25" s="33">
        <f>L37+L715+L608</f>
        <v>37223.81</v>
      </c>
      <c r="M25" s="33">
        <f>M37+M728+M608</f>
        <v>35362.639999999999</v>
      </c>
      <c r="N25" s="33">
        <f>N37+N716+N608</f>
        <v>29149.66</v>
      </c>
      <c r="O25" s="33">
        <f>O37+O716+O608</f>
        <v>55511.659999999996</v>
      </c>
      <c r="P25" s="33">
        <f>P37+P716+P608</f>
        <v>59956.22</v>
      </c>
      <c r="Q25" s="33">
        <f>Q37+Q716+Q608</f>
        <v>34787.33</v>
      </c>
      <c r="R25" s="33">
        <f>R37+R716+R608</f>
        <v>34181.32</v>
      </c>
      <c r="S25" s="33">
        <f t="shared" si="1"/>
        <v>386709.90228000004</v>
      </c>
      <c r="AG25" s="33" t="e">
        <f>#REF!+#REF!+#REF!</f>
        <v>#REF!</v>
      </c>
      <c r="AH25" s="33" t="e">
        <f>#REF!+#REF!+#REF!</f>
        <v>#REF!</v>
      </c>
      <c r="AI25" s="33" t="e">
        <f>#REF!+#REF!+#REF!</f>
        <v>#REF!</v>
      </c>
      <c r="AJ25" s="33" t="e">
        <f t="shared" si="5"/>
        <v>#REF!</v>
      </c>
      <c r="AM25" s="44" t="e">
        <f t="shared" si="6"/>
        <v>#REF!</v>
      </c>
      <c r="AU25" s="35">
        <f t="shared" si="7"/>
        <v>0.15060824614297044</v>
      </c>
      <c r="CA25" s="44"/>
      <c r="CB25" s="44">
        <f t="shared" si="8"/>
        <v>229613.7174716653</v>
      </c>
      <c r="CD25" s="35">
        <v>163930</v>
      </c>
      <c r="CE25" s="48">
        <f>CD25/CD21*100</f>
        <v>15.410546819183418</v>
      </c>
      <c r="CF25" s="49">
        <f>CA21*CE25/100</f>
        <v>234945.49827403377</v>
      </c>
      <c r="CG25" s="35">
        <v>1000</v>
      </c>
      <c r="CI25" s="48">
        <f t="shared" si="9"/>
        <v>234.94549827403378</v>
      </c>
      <c r="CJ25" s="50">
        <v>234.95</v>
      </c>
    </row>
    <row r="26" spans="1:88" ht="56.25" x14ac:dyDescent="0.3">
      <c r="A26" s="172"/>
      <c r="B26" s="173"/>
      <c r="C26" s="171"/>
      <c r="D26" s="140" t="s">
        <v>18</v>
      </c>
      <c r="E26" s="141">
        <v>931</v>
      </c>
      <c r="F26" s="142" t="s">
        <v>74</v>
      </c>
      <c r="G26" s="142" t="s">
        <v>74</v>
      </c>
      <c r="H26" s="142" t="s">
        <v>74</v>
      </c>
      <c r="I26" s="33">
        <f>I38+I717+I609</f>
        <v>96631.66</v>
      </c>
      <c r="J26" s="33">
        <f>J38+J717+J609</f>
        <v>30273.34</v>
      </c>
      <c r="K26" s="33">
        <f>K38+K717+K609</f>
        <v>22177.272499999999</v>
      </c>
      <c r="L26" s="33">
        <f>L38+L717+L609</f>
        <v>34897.24</v>
      </c>
      <c r="M26" s="33">
        <f>M38+M729+M609</f>
        <v>39544.959999999999</v>
      </c>
      <c r="N26" s="33">
        <f>N38+N718+N609</f>
        <v>32091.129999999997</v>
      </c>
      <c r="O26" s="33">
        <f>O38+O718+O609</f>
        <v>55337.090000000004</v>
      </c>
      <c r="P26" s="33">
        <f>P38+P718+P609</f>
        <v>42967.72</v>
      </c>
      <c r="Q26" s="33">
        <f>Q38+Q718+Q609</f>
        <v>30787.339999999997</v>
      </c>
      <c r="R26" s="33">
        <f>R38+R718+R609</f>
        <v>30181.32</v>
      </c>
      <c r="S26" s="33">
        <f t="shared" si="1"/>
        <v>414889.07249999995</v>
      </c>
      <c r="AG26" s="33" t="e">
        <f>#REF!+#REF!+#REF!</f>
        <v>#REF!</v>
      </c>
      <c r="AH26" s="33" t="e">
        <f>#REF!+#REF!+#REF!</f>
        <v>#REF!</v>
      </c>
      <c r="AI26" s="33" t="e">
        <f>#REF!+#REF!+#REF!</f>
        <v>#REF!</v>
      </c>
      <c r="AJ26" s="33" t="e">
        <f t="shared" si="5"/>
        <v>#REF!</v>
      </c>
      <c r="AM26" s="44" t="e">
        <f t="shared" si="6"/>
        <v>#REF!</v>
      </c>
      <c r="AU26" s="35">
        <f t="shared" si="7"/>
        <v>0.14119489949122116</v>
      </c>
      <c r="CA26" s="44"/>
      <c r="CB26" s="44">
        <f t="shared" si="8"/>
        <v>215262.355086728</v>
      </c>
      <c r="CD26" s="35">
        <v>141000</v>
      </c>
      <c r="CE26" s="48">
        <f>CD26/CD21*100</f>
        <v>13.25496920334815</v>
      </c>
      <c r="CF26" s="49">
        <f>CE26*CA21/100</f>
        <v>202082.07928163707</v>
      </c>
      <c r="CG26" s="35">
        <v>1000</v>
      </c>
      <c r="CI26" s="48">
        <f t="shared" si="9"/>
        <v>202.08207928163708</v>
      </c>
      <c r="CJ26" s="50">
        <v>202.08</v>
      </c>
    </row>
    <row r="27" spans="1:88" ht="56.25" x14ac:dyDescent="0.3">
      <c r="A27" s="172"/>
      <c r="B27" s="173"/>
      <c r="C27" s="171"/>
      <c r="D27" s="140" t="s">
        <v>19</v>
      </c>
      <c r="E27" s="141">
        <v>934</v>
      </c>
      <c r="F27" s="142" t="s">
        <v>74</v>
      </c>
      <c r="G27" s="142" t="s">
        <v>74</v>
      </c>
      <c r="H27" s="142" t="s">
        <v>74</v>
      </c>
      <c r="I27" s="33">
        <f>I39+I719+I610</f>
        <v>59448.299999999996</v>
      </c>
      <c r="J27" s="33">
        <f>J39+J719+J610</f>
        <v>23881.3</v>
      </c>
      <c r="K27" s="33">
        <f>K39+K719+K610</f>
        <v>53610.780119999996</v>
      </c>
      <c r="L27" s="33">
        <f>L39+L719+L610</f>
        <v>69655.89</v>
      </c>
      <c r="M27" s="33">
        <f>M39+M730+M610</f>
        <v>70454.960000000006</v>
      </c>
      <c r="N27" s="33">
        <f>N39+N720+N610</f>
        <v>100176.67000000001</v>
      </c>
      <c r="O27" s="33">
        <f>O39+O720+O610</f>
        <v>83838.521999999997</v>
      </c>
      <c r="P27" s="33">
        <f>P39+P720+P610</f>
        <v>67696.489999999991</v>
      </c>
      <c r="Q27" s="33">
        <f>Q39+Q720+Q610</f>
        <v>42087.34</v>
      </c>
      <c r="R27" s="33">
        <f>R39+R720+R610</f>
        <v>41481.33</v>
      </c>
      <c r="S27" s="33">
        <f t="shared" si="1"/>
        <v>612331.58211999992</v>
      </c>
      <c r="AG27" s="33" t="e">
        <f>#REF!+#REF!+#REF!</f>
        <v>#REF!</v>
      </c>
      <c r="AH27" s="33" t="e">
        <f>#REF!+#REF!+#REF!</f>
        <v>#REF!</v>
      </c>
      <c r="AI27" s="33" t="e">
        <f>#REF!+#REF!+#REF!</f>
        <v>#REF!</v>
      </c>
      <c r="AJ27" s="33" t="e">
        <f t="shared" si="5"/>
        <v>#REF!</v>
      </c>
      <c r="AM27" s="44" t="e">
        <f t="shared" si="6"/>
        <v>#REF!</v>
      </c>
      <c r="AU27" s="35">
        <f t="shared" si="7"/>
        <v>0.28182906119571516</v>
      </c>
      <c r="CA27" s="44"/>
      <c r="CB27" s="44">
        <f t="shared" si="8"/>
        <v>429669.82280151866</v>
      </c>
      <c r="CD27" s="35">
        <v>317000</v>
      </c>
      <c r="CE27" s="48">
        <f>CD27/CD21*100</f>
        <v>29.800178989087684</v>
      </c>
      <c r="CF27" s="49">
        <f>CE27*CA21/100</f>
        <v>454326.37682467344</v>
      </c>
      <c r="CG27" s="35">
        <v>1000</v>
      </c>
      <c r="CI27" s="48">
        <f t="shared" si="9"/>
        <v>454.32637682467345</v>
      </c>
      <c r="CJ27" s="50">
        <v>454.33</v>
      </c>
    </row>
    <row r="28" spans="1:88" ht="56.25" x14ac:dyDescent="0.3">
      <c r="A28" s="172"/>
      <c r="B28" s="173"/>
      <c r="C28" s="171"/>
      <c r="D28" s="140" t="s">
        <v>20</v>
      </c>
      <c r="E28" s="141">
        <v>937</v>
      </c>
      <c r="F28" s="142" t="s">
        <v>74</v>
      </c>
      <c r="G28" s="142" t="s">
        <v>74</v>
      </c>
      <c r="H28" s="142" t="s">
        <v>74</v>
      </c>
      <c r="I28" s="33">
        <f>I40+I721+I611+0.01</f>
        <v>14492.42</v>
      </c>
      <c r="J28" s="33">
        <f>J40+J721+J611</f>
        <v>21499.059999999998</v>
      </c>
      <c r="K28" s="33">
        <f>K40+K721+K611</f>
        <v>18253.349999999999</v>
      </c>
      <c r="L28" s="33">
        <f>L40+L721+L611</f>
        <v>9098.6899999999987</v>
      </c>
      <c r="M28" s="33">
        <f>M40+M731+M611</f>
        <v>29339.89</v>
      </c>
      <c r="N28" s="33">
        <f>N40+N722+N611</f>
        <v>26472.82</v>
      </c>
      <c r="O28" s="33">
        <f>O40+O722+O611</f>
        <v>16185.93</v>
      </c>
      <c r="P28" s="33">
        <f>P40+P722+P611</f>
        <v>23706.22</v>
      </c>
      <c r="Q28" s="33">
        <f>Q40+Q722+Q611</f>
        <v>23087.33</v>
      </c>
      <c r="R28" s="33">
        <f>R40+R722+R611</f>
        <v>22481.32</v>
      </c>
      <c r="S28" s="33">
        <f t="shared" si="1"/>
        <v>204617.02999999997</v>
      </c>
      <c r="AG28" s="33" t="e">
        <f>#REF!+#REF!+#REF!</f>
        <v>#REF!</v>
      </c>
      <c r="AH28" s="33" t="e">
        <f>#REF!+#REF!+#REF!</f>
        <v>#REF!</v>
      </c>
      <c r="AI28" s="33" t="e">
        <f>#REF!+#REF!+#REF!</f>
        <v>#REF!</v>
      </c>
      <c r="AJ28" s="33" t="e">
        <f t="shared" si="5"/>
        <v>#REF!</v>
      </c>
      <c r="AM28" s="44" t="e">
        <f t="shared" si="6"/>
        <v>#REF!</v>
      </c>
      <c r="AU28" s="35">
        <f t="shared" si="7"/>
        <v>3.6813473502540002E-2</v>
      </c>
      <c r="AY28" s="35" t="s">
        <v>151</v>
      </c>
      <c r="CA28" s="44"/>
      <c r="CB28" s="44">
        <f t="shared" si="8"/>
        <v>56124.938178608427</v>
      </c>
      <c r="CD28" s="35">
        <v>75722</v>
      </c>
      <c r="CE28" s="48">
        <f>CD28/CD21*100</f>
        <v>7.1183884965668689</v>
      </c>
      <c r="CF28" s="49">
        <f>CE28*CA21/100</f>
        <v>108525.24260541931</v>
      </c>
      <c r="CG28" s="35">
        <v>1000</v>
      </c>
      <c r="CI28" s="48">
        <f t="shared" si="9"/>
        <v>108.52524260541931</v>
      </c>
      <c r="CJ28" s="50">
        <v>108.53</v>
      </c>
    </row>
    <row r="29" spans="1:88" ht="25.5" customHeight="1" x14ac:dyDescent="0.25">
      <c r="A29" s="172">
        <v>2</v>
      </c>
      <c r="B29" s="179" t="s">
        <v>21</v>
      </c>
      <c r="C29" s="171" t="s">
        <v>214</v>
      </c>
      <c r="D29" s="140" t="s">
        <v>10</v>
      </c>
      <c r="E29" s="142" t="s">
        <v>74</v>
      </c>
      <c r="F29" s="142" t="s">
        <v>74</v>
      </c>
      <c r="G29" s="141">
        <v>1310000000</v>
      </c>
      <c r="H29" s="141" t="s">
        <v>74</v>
      </c>
      <c r="I29" s="33">
        <f>I30+I33</f>
        <v>346739.01986999996</v>
      </c>
      <c r="J29" s="33">
        <f>J30+J33</f>
        <v>432541.26</v>
      </c>
      <c r="K29" s="33">
        <f>K30+K33+K32</f>
        <v>425296.43649000005</v>
      </c>
      <c r="L29" s="33">
        <f>L30+L33+L32</f>
        <v>444920.1399999999</v>
      </c>
      <c r="M29" s="33">
        <f>M30+M33</f>
        <v>404603.63000000006</v>
      </c>
      <c r="N29" s="33">
        <f>N30+N33+N32</f>
        <v>402840.45</v>
      </c>
      <c r="O29" s="33">
        <f>O31+O33+O32</f>
        <v>642068.27999999991</v>
      </c>
      <c r="P29" s="33">
        <f>P31+P33+P32</f>
        <v>1458498.7091699999</v>
      </c>
      <c r="Q29" s="33">
        <f>Q31+Q33+Q32</f>
        <v>779411.54403999995</v>
      </c>
      <c r="R29" s="33">
        <f>R31+R33+R32</f>
        <v>765271.34404000011</v>
      </c>
      <c r="S29" s="33">
        <f>SUM(I29:R29)</f>
        <v>6102190.8136099996</v>
      </c>
      <c r="AG29" s="33" t="e">
        <f>SUM(AG30:AG33)</f>
        <v>#REF!</v>
      </c>
      <c r="AH29" s="33" t="e">
        <f>SUM(AH30:AH33)</f>
        <v>#REF!</v>
      </c>
      <c r="AI29" s="33" t="e">
        <f>SUM(AI30:AI33)</f>
        <v>#REF!</v>
      </c>
      <c r="AJ29" s="33" t="e">
        <f>SUM(AG29:AI29)</f>
        <v>#REF!</v>
      </c>
      <c r="AM29" s="44" t="e">
        <f t="shared" si="6"/>
        <v>#REF!</v>
      </c>
      <c r="AO29" s="35">
        <f>349739.02+434332.26+425296.44+444920.14+404603.63+402840.45+456789.52+42569.86</f>
        <v>2961091.32</v>
      </c>
      <c r="AQ29" s="44"/>
      <c r="AR29" s="44"/>
      <c r="AS29" s="44"/>
      <c r="AV29" s="44" t="e">
        <f>S41+#REF!+#REF!</f>
        <v>#REF!</v>
      </c>
      <c r="CE29" s="35">
        <f>SUM(CE22:CE28)</f>
        <v>100</v>
      </c>
    </row>
    <row r="30" spans="1:88" ht="37.5" x14ac:dyDescent="0.25">
      <c r="A30" s="172"/>
      <c r="B30" s="179"/>
      <c r="C30" s="171"/>
      <c r="D30" s="140" t="s">
        <v>30</v>
      </c>
      <c r="E30" s="141">
        <v>915</v>
      </c>
      <c r="F30" s="142" t="s">
        <v>74</v>
      </c>
      <c r="G30" s="141" t="s">
        <v>74</v>
      </c>
      <c r="H30" s="141" t="s">
        <v>74</v>
      </c>
      <c r="I30" s="33">
        <f>I110</f>
        <v>120312.87987</v>
      </c>
      <c r="J30" s="33">
        <f>J263</f>
        <v>256141.04</v>
      </c>
      <c r="K30" s="33">
        <f>K267</f>
        <v>289006.77</v>
      </c>
      <c r="L30" s="33">
        <f>L263</f>
        <v>283034.49999999994</v>
      </c>
      <c r="M30" s="33">
        <f>M267</f>
        <v>291511.05000000005</v>
      </c>
      <c r="N30" s="33">
        <f>N267</f>
        <v>238988.32</v>
      </c>
      <c r="O30" s="33">
        <v>0</v>
      </c>
      <c r="P30" s="33">
        <v>0</v>
      </c>
      <c r="Q30" s="33">
        <v>0</v>
      </c>
      <c r="R30" s="33">
        <v>0</v>
      </c>
      <c r="S30" s="33">
        <f>SUM(I30:R30)</f>
        <v>1478994.55987</v>
      </c>
      <c r="AG30" s="33" t="e">
        <f>#REF!+#REF!+#REF!+#REF!</f>
        <v>#REF!</v>
      </c>
      <c r="AH30" s="33" t="e">
        <f>#REF!+#REF!+#REF!+#REF!</f>
        <v>#REF!</v>
      </c>
      <c r="AI30" s="33" t="e">
        <f>#REF!+#REF!+#REF!+#REF!</f>
        <v>#REF!</v>
      </c>
      <c r="AJ30" s="33" t="e">
        <f t="shared" ref="AJ30:AJ40" si="10">SUM(AG30:AI30)</f>
        <v>#REF!</v>
      </c>
      <c r="AM30" s="44" t="e">
        <f t="shared" si="6"/>
        <v>#REF!</v>
      </c>
      <c r="AO30" s="35">
        <f>0.88+0.04+0.09+0.18+0.2+0.32+0.67+0.9</f>
        <v>3.28</v>
      </c>
      <c r="AU30" s="44">
        <f>L30-K30</f>
        <v>-5972.2700000000768</v>
      </c>
    </row>
    <row r="31" spans="1:88" ht="56.25" x14ac:dyDescent="0.25">
      <c r="A31" s="172"/>
      <c r="B31" s="179"/>
      <c r="C31" s="171"/>
      <c r="D31" s="140" t="s">
        <v>322</v>
      </c>
      <c r="E31" s="141">
        <v>915</v>
      </c>
      <c r="F31" s="142" t="s">
        <v>74</v>
      </c>
      <c r="G31" s="141" t="s">
        <v>74</v>
      </c>
      <c r="H31" s="141" t="s">
        <v>74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f>O271+O507</f>
        <v>380977.38899999997</v>
      </c>
      <c r="P31" s="33">
        <f>P421+P513</f>
        <v>1190040.0071699999</v>
      </c>
      <c r="Q31" s="33">
        <f>Q421+Q513</f>
        <v>666800.20403999998</v>
      </c>
      <c r="R31" s="33">
        <f>R421+R513</f>
        <v>656902.06404000008</v>
      </c>
      <c r="S31" s="33">
        <f t="shared" si="1"/>
        <v>2894719.6642499999</v>
      </c>
      <c r="AG31" s="33"/>
      <c r="AH31" s="33"/>
      <c r="AI31" s="33"/>
      <c r="AJ31" s="33"/>
      <c r="AM31" s="44"/>
      <c r="AU31" s="44"/>
    </row>
    <row r="32" spans="1:88" ht="48.75" customHeight="1" x14ac:dyDescent="0.25">
      <c r="A32" s="172"/>
      <c r="B32" s="179"/>
      <c r="C32" s="171"/>
      <c r="D32" s="140" t="s">
        <v>261</v>
      </c>
      <c r="E32" s="141">
        <v>911</v>
      </c>
      <c r="F32" s="142" t="s">
        <v>74</v>
      </c>
      <c r="G32" s="141" t="s">
        <v>74</v>
      </c>
      <c r="H32" s="141" t="s">
        <v>74</v>
      </c>
      <c r="I32" s="33">
        <v>0</v>
      </c>
      <c r="J32" s="33">
        <v>0</v>
      </c>
      <c r="K32" s="33">
        <f>K275</f>
        <v>10000</v>
      </c>
      <c r="L32" s="33">
        <f>L501</f>
        <v>50000</v>
      </c>
      <c r="M32" s="33">
        <v>0</v>
      </c>
      <c r="N32" s="33">
        <f>N275</f>
        <v>43000</v>
      </c>
      <c r="O32" s="33">
        <f>O275+O510</f>
        <v>126010.101</v>
      </c>
      <c r="P32" s="33">
        <f>P275+P516+P501</f>
        <v>151515.152</v>
      </c>
      <c r="Q32" s="33">
        <f>Q275+Q516+Q501</f>
        <v>0</v>
      </c>
      <c r="R32" s="33">
        <f>R275+R516+R501</f>
        <v>0</v>
      </c>
      <c r="S32" s="33">
        <f>SUM(I32:R32)</f>
        <v>380525.25300000003</v>
      </c>
      <c r="AG32" s="33"/>
      <c r="AH32" s="33"/>
      <c r="AI32" s="33"/>
      <c r="AJ32" s="33"/>
      <c r="AM32" s="44"/>
      <c r="AU32" s="44"/>
    </row>
    <row r="33" spans="1:79" ht="72.75" customHeight="1" x14ac:dyDescent="0.25">
      <c r="A33" s="172"/>
      <c r="B33" s="179"/>
      <c r="C33" s="171"/>
      <c r="D33" s="140" t="s">
        <v>13</v>
      </c>
      <c r="E33" s="142" t="s">
        <v>53</v>
      </c>
      <c r="F33" s="142" t="s">
        <v>74</v>
      </c>
      <c r="G33" s="141" t="s">
        <v>74</v>
      </c>
      <c r="H33" s="141" t="s">
        <v>74</v>
      </c>
      <c r="I33" s="33">
        <f>SUM(I34:I40)</f>
        <v>226426.13999999996</v>
      </c>
      <c r="J33" s="33">
        <f>SUM(J34:J40)</f>
        <v>176400.21999999997</v>
      </c>
      <c r="K33" s="33">
        <f>K279</f>
        <v>126289.66649000002</v>
      </c>
      <c r="L33" s="33">
        <f>L279</f>
        <v>111885.63999999998</v>
      </c>
      <c r="M33" s="33">
        <f>M279</f>
        <v>113092.58</v>
      </c>
      <c r="N33" s="33">
        <f>N279</f>
        <v>120852.13</v>
      </c>
      <c r="O33" s="33">
        <f>O279</f>
        <v>135080.78999999998</v>
      </c>
      <c r="P33" s="33">
        <f>P34+P35+P36+P37+P38+P39+P40</f>
        <v>116943.55</v>
      </c>
      <c r="Q33" s="33">
        <f t="shared" ref="Q33:R33" si="11">Q34+Q35+Q36+Q37+Q38+Q39+Q40</f>
        <v>112611.34</v>
      </c>
      <c r="R33" s="33">
        <f t="shared" si="11"/>
        <v>108369.28</v>
      </c>
      <c r="S33" s="33">
        <f t="shared" si="1"/>
        <v>1347951.3364900001</v>
      </c>
      <c r="AG33" s="33" t="e">
        <f>SUM(AG34:AG40)-0.01</f>
        <v>#REF!</v>
      </c>
      <c r="AH33" s="33" t="e">
        <f>SUM(AH34:AH40)</f>
        <v>#REF!</v>
      </c>
      <c r="AI33" s="33" t="e">
        <f>SUM(AI34:AI40)</f>
        <v>#REF!</v>
      </c>
      <c r="AJ33" s="33" t="e">
        <f t="shared" si="10"/>
        <v>#REF!</v>
      </c>
      <c r="AM33" s="44" t="e">
        <f t="shared" ref="AM33:AM40" si="12">I33-AG33</f>
        <v>#REF!</v>
      </c>
    </row>
    <row r="34" spans="1:79" ht="56.25" x14ac:dyDescent="0.25">
      <c r="A34" s="172"/>
      <c r="B34" s="179"/>
      <c r="C34" s="171"/>
      <c r="D34" s="140" t="s">
        <v>23</v>
      </c>
      <c r="E34" s="141">
        <v>919</v>
      </c>
      <c r="F34" s="142" t="s">
        <v>74</v>
      </c>
      <c r="G34" s="141" t="s">
        <v>74</v>
      </c>
      <c r="H34" s="141" t="s">
        <v>74</v>
      </c>
      <c r="I34" s="33">
        <f>I44+I45</f>
        <v>23653.57</v>
      </c>
      <c r="J34" s="33">
        <f>J200+J199+J223+J222+J246+J245</f>
        <v>20973.66</v>
      </c>
      <c r="K34" s="33">
        <f>K200+K199+K223+K222+K246+K245</f>
        <v>19391.030489999997</v>
      </c>
      <c r="L34" s="33">
        <f>L291</f>
        <v>17777.45</v>
      </c>
      <c r="M34" s="33">
        <f t="shared" ref="M34:O35" si="13">M200+M223+M246</f>
        <v>17890.43</v>
      </c>
      <c r="N34" s="33">
        <f t="shared" si="13"/>
        <v>16929.900000000001</v>
      </c>
      <c r="O34" s="33">
        <f t="shared" si="13"/>
        <v>19143.68</v>
      </c>
      <c r="P34" s="33">
        <f t="shared" ref="P34:R35" si="14">P356+P378+P400</f>
        <v>16706.22</v>
      </c>
      <c r="Q34" s="33">
        <f t="shared" si="14"/>
        <v>16087.33</v>
      </c>
      <c r="R34" s="33">
        <f t="shared" si="14"/>
        <v>15481.33</v>
      </c>
      <c r="S34" s="33">
        <f t="shared" si="1"/>
        <v>184034.60048999995</v>
      </c>
      <c r="AG34" s="33" t="e">
        <f>AG118+#REF!+#REF!+#REF!</f>
        <v>#REF!</v>
      </c>
      <c r="AH34" s="33" t="e">
        <f>AH118+#REF!+#REF!+#REF!</f>
        <v>#REF!</v>
      </c>
      <c r="AI34" s="33" t="e">
        <f>AI118+#REF!+#REF!+#REF!</f>
        <v>#REF!</v>
      </c>
      <c r="AJ34" s="33" t="e">
        <f t="shared" si="10"/>
        <v>#REF!</v>
      </c>
      <c r="AM34" s="44" t="e">
        <f t="shared" si="12"/>
        <v>#REF!</v>
      </c>
      <c r="CA34" s="33" t="e">
        <f>CA118+#REF!</f>
        <v>#REF!</v>
      </c>
    </row>
    <row r="35" spans="1:79" ht="47.25" customHeight="1" x14ac:dyDescent="0.25">
      <c r="A35" s="172"/>
      <c r="B35" s="179"/>
      <c r="C35" s="171"/>
      <c r="D35" s="140" t="s">
        <v>24</v>
      </c>
      <c r="E35" s="141">
        <v>922</v>
      </c>
      <c r="F35" s="142" t="s">
        <v>74</v>
      </c>
      <c r="G35" s="141" t="s">
        <v>74</v>
      </c>
      <c r="H35" s="141" t="s">
        <v>74</v>
      </c>
      <c r="I35" s="33">
        <f>I46+I47</f>
        <v>33943.440000000002</v>
      </c>
      <c r="J35" s="33">
        <f>J201+J224+J247</f>
        <v>31329.88</v>
      </c>
      <c r="K35" s="33">
        <f>K201+K224+K247</f>
        <v>15630.420000000002</v>
      </c>
      <c r="L35" s="33">
        <f>L295</f>
        <v>17096.03</v>
      </c>
      <c r="M35" s="33">
        <f t="shared" si="13"/>
        <v>17464.3</v>
      </c>
      <c r="N35" s="33">
        <f t="shared" si="13"/>
        <v>17103.939999999999</v>
      </c>
      <c r="O35" s="33">
        <f t="shared" si="13"/>
        <v>20548.439999999999</v>
      </c>
      <c r="P35" s="33">
        <f t="shared" si="14"/>
        <v>16706.22</v>
      </c>
      <c r="Q35" s="33">
        <f t="shared" si="14"/>
        <v>16087.33</v>
      </c>
      <c r="R35" s="33">
        <f t="shared" si="14"/>
        <v>15481.33</v>
      </c>
      <c r="S35" s="33">
        <f t="shared" si="1"/>
        <v>201391.33</v>
      </c>
      <c r="AG35" s="33" t="e">
        <f>#REF!+#REF!+#REF!+#REF!-0.01</f>
        <v>#REF!</v>
      </c>
      <c r="AH35" s="33" t="e">
        <f>#REF!+#REF!+#REF!+#REF!</f>
        <v>#REF!</v>
      </c>
      <c r="AI35" s="33" t="e">
        <f>#REF!+#REF!+#REF!+#REF!</f>
        <v>#REF!</v>
      </c>
      <c r="AJ35" s="33" t="e">
        <f t="shared" si="10"/>
        <v>#REF!</v>
      </c>
      <c r="AM35" s="44" t="e">
        <f t="shared" si="12"/>
        <v>#REF!</v>
      </c>
    </row>
    <row r="36" spans="1:79" ht="45" customHeight="1" x14ac:dyDescent="0.25">
      <c r="A36" s="172"/>
      <c r="B36" s="179"/>
      <c r="C36" s="171"/>
      <c r="D36" s="140" t="s">
        <v>25</v>
      </c>
      <c r="E36" s="141">
        <v>925</v>
      </c>
      <c r="F36" s="142" t="s">
        <v>74</v>
      </c>
      <c r="G36" s="141" t="s">
        <v>74</v>
      </c>
      <c r="H36" s="141" t="s">
        <v>74</v>
      </c>
      <c r="I36" s="33">
        <f>I48</f>
        <v>30800.199999999997</v>
      </c>
      <c r="J36" s="33">
        <f>J204+J227+J250</f>
        <v>36548.629999999997</v>
      </c>
      <c r="K36" s="33">
        <f>K204+K227+K250</f>
        <v>18442.885880000002</v>
      </c>
      <c r="L36" s="33">
        <f>L307</f>
        <v>11010.970000000001</v>
      </c>
      <c r="M36" s="33">
        <f t="shared" ref="M36:O37" si="15">M204+M227+M250</f>
        <v>11211.06</v>
      </c>
      <c r="N36" s="33">
        <f t="shared" si="15"/>
        <v>14959.880000000001</v>
      </c>
      <c r="O36" s="33">
        <f t="shared" si="15"/>
        <v>16257.81</v>
      </c>
      <c r="P36" s="33">
        <f t="shared" ref="P36:R37" si="16">P360+P382+P404</f>
        <v>16706.22</v>
      </c>
      <c r="Q36" s="33">
        <f t="shared" si="16"/>
        <v>16087.34</v>
      </c>
      <c r="R36" s="33">
        <f t="shared" si="16"/>
        <v>15481.33</v>
      </c>
      <c r="S36" s="33">
        <f t="shared" si="1"/>
        <v>187506.32587999999</v>
      </c>
      <c r="AG36" s="33" t="e">
        <f>#REF!+#REF!+#REF!+#REF!</f>
        <v>#REF!</v>
      </c>
      <c r="AH36" s="33" t="e">
        <f>#REF!+#REF!+#REF!+#REF!</f>
        <v>#REF!</v>
      </c>
      <c r="AI36" s="33" t="e">
        <f>#REF!+#REF!+#REF!+#REF!</f>
        <v>#REF!</v>
      </c>
      <c r="AJ36" s="33" t="e">
        <f t="shared" si="10"/>
        <v>#REF!</v>
      </c>
      <c r="AM36" s="44" t="e">
        <f t="shared" si="12"/>
        <v>#REF!</v>
      </c>
    </row>
    <row r="37" spans="1:79" ht="37.5" x14ac:dyDescent="0.25">
      <c r="A37" s="172"/>
      <c r="B37" s="179"/>
      <c r="C37" s="171"/>
      <c r="D37" s="140" t="s">
        <v>26</v>
      </c>
      <c r="E37" s="141">
        <v>928</v>
      </c>
      <c r="F37" s="142" t="s">
        <v>74</v>
      </c>
      <c r="G37" s="141" t="s">
        <v>74</v>
      </c>
      <c r="H37" s="141" t="s">
        <v>74</v>
      </c>
      <c r="I37" s="33">
        <f>I49+I50</f>
        <v>35037.83</v>
      </c>
      <c r="J37" s="33">
        <f>J207+J206+J230+J229+J253+J252+0.01</f>
        <v>23082.739999999998</v>
      </c>
      <c r="K37" s="33">
        <f>K207+K206+K230+K229+K253+K252</f>
        <v>16748.89228</v>
      </c>
      <c r="L37" s="33">
        <f>L311</f>
        <v>15785.189999999999</v>
      </c>
      <c r="M37" s="33">
        <f t="shared" si="15"/>
        <v>25626.739999999998</v>
      </c>
      <c r="N37" s="33">
        <f t="shared" si="15"/>
        <v>16349.6</v>
      </c>
      <c r="O37" s="33">
        <f t="shared" si="15"/>
        <v>23209.909999999996</v>
      </c>
      <c r="P37" s="33">
        <f t="shared" si="16"/>
        <v>16706.22</v>
      </c>
      <c r="Q37" s="33">
        <f t="shared" si="16"/>
        <v>16087.33</v>
      </c>
      <c r="R37" s="33">
        <f t="shared" si="16"/>
        <v>15481.32</v>
      </c>
      <c r="S37" s="33">
        <f t="shared" si="1"/>
        <v>204115.77228</v>
      </c>
      <c r="AG37" s="33" t="e">
        <f>#REF!+#REF!+#REF!+#REF!</f>
        <v>#REF!</v>
      </c>
      <c r="AH37" s="33" t="e">
        <f>#REF!+#REF!+#REF!+#REF!</f>
        <v>#REF!</v>
      </c>
      <c r="AI37" s="33" t="e">
        <f>#REF!+#REF!+#REF!+#REF!</f>
        <v>#REF!</v>
      </c>
      <c r="AJ37" s="33" t="e">
        <f t="shared" si="10"/>
        <v>#REF!</v>
      </c>
      <c r="AM37" s="44" t="e">
        <f t="shared" si="12"/>
        <v>#REF!</v>
      </c>
    </row>
    <row r="38" spans="1:79" ht="56.25" x14ac:dyDescent="0.25">
      <c r="A38" s="172"/>
      <c r="B38" s="179"/>
      <c r="C38" s="171"/>
      <c r="D38" s="140" t="s">
        <v>27</v>
      </c>
      <c r="E38" s="141">
        <v>931</v>
      </c>
      <c r="F38" s="142" t="s">
        <v>74</v>
      </c>
      <c r="G38" s="141" t="s">
        <v>74</v>
      </c>
      <c r="H38" s="141" t="s">
        <v>74</v>
      </c>
      <c r="I38" s="33">
        <f>I51+I52</f>
        <v>79892.12</v>
      </c>
      <c r="J38" s="33">
        <f>J210+J209+J233+J232+J256+J255</f>
        <v>28215.74</v>
      </c>
      <c r="K38" s="33">
        <f>K210+K209+K233+K232+K256+K255</f>
        <v>17266.13751</v>
      </c>
      <c r="L38" s="33">
        <f>L323</f>
        <v>23870.639999999999</v>
      </c>
      <c r="M38" s="33">
        <f>M208+M231+M254</f>
        <v>12088.02</v>
      </c>
      <c r="N38" s="33">
        <f>N208+N231+N254</f>
        <v>15232.259999999998</v>
      </c>
      <c r="O38" s="33">
        <f>O208+O231+O254</f>
        <v>18406.830000000002</v>
      </c>
      <c r="P38" s="33">
        <f>P364+P386+P408</f>
        <v>16706.22</v>
      </c>
      <c r="Q38" s="33">
        <f>Q364+Q386+Q408</f>
        <v>16087.339999999998</v>
      </c>
      <c r="R38" s="33">
        <f>R364+R386+R408</f>
        <v>15481.32</v>
      </c>
      <c r="S38" s="33">
        <f t="shared" si="1"/>
        <v>243246.62751000002</v>
      </c>
      <c r="AG38" s="33" t="e">
        <f>#REF!+#REF!+#REF!+#REF!+0.01</f>
        <v>#REF!</v>
      </c>
      <c r="AH38" s="33" t="e">
        <f>#REF!+#REF!+#REF!+#REF!</f>
        <v>#REF!</v>
      </c>
      <c r="AI38" s="33" t="e">
        <f>#REF!+#REF!+#REF!+#REF!</f>
        <v>#REF!</v>
      </c>
      <c r="AJ38" s="33" t="e">
        <f t="shared" si="10"/>
        <v>#REF!</v>
      </c>
      <c r="AM38" s="44" t="e">
        <f t="shared" si="12"/>
        <v>#REF!</v>
      </c>
    </row>
    <row r="39" spans="1:79" ht="44.25" customHeight="1" x14ac:dyDescent="0.25">
      <c r="A39" s="172"/>
      <c r="B39" s="179"/>
      <c r="C39" s="171"/>
      <c r="D39" s="140" t="s">
        <v>28</v>
      </c>
      <c r="E39" s="141">
        <v>934</v>
      </c>
      <c r="F39" s="142" t="s">
        <v>74</v>
      </c>
      <c r="G39" s="141" t="s">
        <v>74</v>
      </c>
      <c r="H39" s="141" t="s">
        <v>74</v>
      </c>
      <c r="I39" s="33">
        <f>I170</f>
        <v>22454.21</v>
      </c>
      <c r="J39" s="33">
        <f>J213+J212+J236+J235+J259+J258</f>
        <v>20544.89</v>
      </c>
      <c r="K39" s="33">
        <f>K213+K212+K236+K235+K259+K258</f>
        <v>30987.850119999996</v>
      </c>
      <c r="L39" s="33">
        <f>L335</f>
        <v>25079.02</v>
      </c>
      <c r="M39" s="33">
        <f>M211+M234+M257</f>
        <v>23151.350000000002</v>
      </c>
      <c r="N39" s="33">
        <f>N211+N234+N257</f>
        <v>29446.65</v>
      </c>
      <c r="O39" s="33">
        <f>O211+O234+O257</f>
        <v>31767.78</v>
      </c>
      <c r="P39" s="33">
        <f>P367+P389+P411</f>
        <v>16706.23</v>
      </c>
      <c r="Q39" s="33">
        <f>Q367+Q389+Q411</f>
        <v>16087.339999999998</v>
      </c>
      <c r="R39" s="33">
        <f>R367+R389+R411</f>
        <v>15481.33</v>
      </c>
      <c r="S39" s="33">
        <f t="shared" si="1"/>
        <v>231706.65012000001</v>
      </c>
      <c r="AG39" s="33" t="e">
        <f>#REF!+#REF!+#REF!+#REF!+#REF!+0.01</f>
        <v>#REF!</v>
      </c>
      <c r="AH39" s="33" t="e">
        <f>#REF!+#REF!+#REF!+#REF!+#REF!</f>
        <v>#REF!</v>
      </c>
      <c r="AI39" s="33" t="e">
        <f>#REF!+#REF!+#REF!+#REF!+#REF!</f>
        <v>#REF!</v>
      </c>
      <c r="AJ39" s="33" t="e">
        <f t="shared" si="10"/>
        <v>#REF!</v>
      </c>
      <c r="AM39" s="44" t="e">
        <f t="shared" si="12"/>
        <v>#REF!</v>
      </c>
    </row>
    <row r="40" spans="1:79" ht="37.5" x14ac:dyDescent="0.25">
      <c r="A40" s="172"/>
      <c r="B40" s="179"/>
      <c r="C40" s="171"/>
      <c r="D40" s="140" t="s">
        <v>29</v>
      </c>
      <c r="E40" s="141">
        <v>937</v>
      </c>
      <c r="F40" s="142" t="s">
        <v>74</v>
      </c>
      <c r="G40" s="141" t="s">
        <v>74</v>
      </c>
      <c r="H40" s="141" t="s">
        <v>74</v>
      </c>
      <c r="I40" s="33">
        <f>I190</f>
        <v>644.77</v>
      </c>
      <c r="J40" s="33">
        <f>J347</f>
        <v>15704.679999999998</v>
      </c>
      <c r="K40" s="33">
        <f>K347</f>
        <v>7822.4500000000007</v>
      </c>
      <c r="L40" s="33">
        <f>L347</f>
        <v>1266.3399999999999</v>
      </c>
      <c r="M40" s="33">
        <f>M260+M237+M214</f>
        <v>5660.68</v>
      </c>
      <c r="N40" s="33">
        <f>N260+N237+N214</f>
        <v>10829.9</v>
      </c>
      <c r="O40" s="33">
        <f>O260+O237+O214</f>
        <v>5746.34</v>
      </c>
      <c r="P40" s="33">
        <f>P370+P392+P414</f>
        <v>16706.22</v>
      </c>
      <c r="Q40" s="33">
        <f>Q370+Q392+Q414</f>
        <v>16087.33</v>
      </c>
      <c r="R40" s="33">
        <f>R370+R392+R414</f>
        <v>15481.32</v>
      </c>
      <c r="S40" s="33">
        <f t="shared" si="1"/>
        <v>95950.03</v>
      </c>
      <c r="AG40" s="33" t="e">
        <f>AG182+#REF!+#REF!+#REF!</f>
        <v>#REF!</v>
      </c>
      <c r="AH40" s="33" t="e">
        <f>AH182+#REF!+#REF!+#REF!</f>
        <v>#REF!</v>
      </c>
      <c r="AI40" s="33" t="e">
        <f>AI182+#REF!+#REF!+#REF!</f>
        <v>#REF!</v>
      </c>
      <c r="AJ40" s="33" t="e">
        <f t="shared" si="10"/>
        <v>#REF!</v>
      </c>
      <c r="AM40" s="44" t="e">
        <f t="shared" si="12"/>
        <v>#REF!</v>
      </c>
    </row>
    <row r="41" spans="1:79" ht="123.75" customHeight="1" x14ac:dyDescent="0.25">
      <c r="A41" s="172">
        <v>3</v>
      </c>
      <c r="B41" s="173" t="s">
        <v>191</v>
      </c>
      <c r="C41" s="173" t="s">
        <v>177</v>
      </c>
      <c r="D41" s="147" t="s">
        <v>10</v>
      </c>
      <c r="E41" s="142" t="s">
        <v>74</v>
      </c>
      <c r="F41" s="142" t="s">
        <v>74</v>
      </c>
      <c r="G41" s="141" t="s">
        <v>74</v>
      </c>
      <c r="H41" s="142" t="s">
        <v>74</v>
      </c>
      <c r="I41" s="33">
        <f>I57+I77+I98+I194+I217+I240</f>
        <v>346739.01986999996</v>
      </c>
      <c r="J41" s="33">
        <f>J57+J77+J98+J194+J217+J240</f>
        <v>432541.25999999995</v>
      </c>
      <c r="K41" s="33">
        <f>K57+K77+K98+K194+K217+K240</f>
        <v>425296.43648999999</v>
      </c>
      <c r="L41" s="33">
        <f>L57+L77+L98+L194+L217+L240</f>
        <v>394920.14</v>
      </c>
      <c r="M41" s="33">
        <f t="shared" ref="M41:N41" si="17">M57+M77+M98+M194+M217+M240</f>
        <v>404603.63000000006</v>
      </c>
      <c r="N41" s="33">
        <f t="shared" si="17"/>
        <v>402840.45000000007</v>
      </c>
      <c r="O41" s="33">
        <f>O98+O194+O217+O240</f>
        <v>450269.29000000004</v>
      </c>
      <c r="P41" s="33">
        <f>P351+P373+P395</f>
        <v>389811.84</v>
      </c>
      <c r="Q41" s="33">
        <f t="shared" ref="Q41:R41" si="18">Q351+Q373+Q395</f>
        <v>375371.14</v>
      </c>
      <c r="R41" s="33">
        <f t="shared" si="18"/>
        <v>361230.94</v>
      </c>
      <c r="S41" s="33">
        <f>SUM(I41:R41)</f>
        <v>3983624.1463600001</v>
      </c>
      <c r="AG41" s="52"/>
      <c r="AH41" s="52"/>
      <c r="AI41" s="52"/>
      <c r="AJ41" s="52"/>
      <c r="AM41" s="44"/>
      <c r="AO41" s="44">
        <f>346739.02+434332.26+425296.44+394920.14+404603.63+402840.45+456789.52+42569.86</f>
        <v>2908091.32</v>
      </c>
      <c r="AP41" s="44">
        <f>P41-'[1]приложение 4'!$P$41</f>
        <v>347241.98000000004</v>
      </c>
      <c r="AQ41" s="44">
        <f>Q41-'[1]приложение 4'!$Q$41</f>
        <v>332801.28000000003</v>
      </c>
      <c r="AR41" s="44">
        <f>R41-'[1]приложение 4'!$R$41</f>
        <v>318661.08</v>
      </c>
    </row>
    <row r="42" spans="1:79" ht="54.75" hidden="1" customHeight="1" x14ac:dyDescent="0.25">
      <c r="A42" s="172"/>
      <c r="B42" s="173"/>
      <c r="C42" s="173"/>
      <c r="D42" s="140" t="s">
        <v>321</v>
      </c>
      <c r="E42" s="141">
        <v>915</v>
      </c>
      <c r="F42" s="142" t="s">
        <v>60</v>
      </c>
      <c r="G42" s="142" t="s">
        <v>244</v>
      </c>
      <c r="H42" s="142" t="s">
        <v>238</v>
      </c>
      <c r="I42" s="33">
        <f>I58+I78+I99</f>
        <v>120312.87987</v>
      </c>
      <c r="J42" s="33">
        <f>J58+J78+J99</f>
        <v>0</v>
      </c>
      <c r="K42" s="33">
        <f>K58+K78+K99</f>
        <v>0</v>
      </c>
      <c r="L42" s="33">
        <f>L58+L78+L99</f>
        <v>0</v>
      </c>
      <c r="M42" s="33">
        <f>M58+M78+M99</f>
        <v>0</v>
      </c>
      <c r="N42" s="33"/>
      <c r="O42" s="33"/>
      <c r="P42" s="33"/>
      <c r="Q42" s="33"/>
      <c r="R42" s="33"/>
      <c r="S42" s="33">
        <f t="shared" ref="S42:S101" si="19">SUM(I42:Q42)</f>
        <v>120312.87987</v>
      </c>
      <c r="AG42" s="52"/>
      <c r="AH42" s="52"/>
      <c r="AI42" s="52"/>
      <c r="AJ42" s="52"/>
      <c r="AM42" s="44"/>
    </row>
    <row r="43" spans="1:79" ht="46.5" hidden="1" customHeight="1" x14ac:dyDescent="0.25">
      <c r="A43" s="172"/>
      <c r="B43" s="173"/>
      <c r="C43" s="173"/>
      <c r="D43" s="147" t="s">
        <v>13</v>
      </c>
      <c r="E43" s="142" t="s">
        <v>74</v>
      </c>
      <c r="F43" s="142" t="s">
        <v>74</v>
      </c>
      <c r="G43" s="142" t="s">
        <v>244</v>
      </c>
      <c r="H43" s="142" t="s">
        <v>74</v>
      </c>
      <c r="I43" s="33">
        <f>SUM(I44:I56)</f>
        <v>266464.45</v>
      </c>
      <c r="J43" s="33">
        <f>SUM(J44:J56)</f>
        <v>0</v>
      </c>
      <c r="K43" s="33">
        <f>SUM(K44:K56)</f>
        <v>0</v>
      </c>
      <c r="L43" s="33">
        <f>SUM(L44:L56)</f>
        <v>0</v>
      </c>
      <c r="M43" s="33">
        <f>SUM(M44:M56)</f>
        <v>0</v>
      </c>
      <c r="N43" s="33"/>
      <c r="O43" s="33"/>
      <c r="P43" s="33"/>
      <c r="Q43" s="33"/>
      <c r="R43" s="33"/>
      <c r="S43" s="33">
        <f t="shared" si="19"/>
        <v>266464.45</v>
      </c>
      <c r="AG43" s="52"/>
      <c r="AH43" s="52"/>
      <c r="AI43" s="52"/>
      <c r="AJ43" s="52"/>
      <c r="AM43" s="44"/>
    </row>
    <row r="44" spans="1:79" ht="54.75" hidden="1" customHeight="1" x14ac:dyDescent="0.25">
      <c r="A44" s="172"/>
      <c r="B44" s="173"/>
      <c r="C44" s="173"/>
      <c r="D44" s="169" t="s">
        <v>23</v>
      </c>
      <c r="E44" s="166">
        <v>919</v>
      </c>
      <c r="F44" s="165" t="s">
        <v>60</v>
      </c>
      <c r="G44" s="142" t="s">
        <v>244</v>
      </c>
      <c r="H44" s="142" t="s">
        <v>235</v>
      </c>
      <c r="I44" s="33">
        <v>0</v>
      </c>
      <c r="J44" s="33">
        <f>J108</f>
        <v>0</v>
      </c>
      <c r="K44" s="33">
        <f>K108</f>
        <v>0</v>
      </c>
      <c r="L44" s="33">
        <f>L108</f>
        <v>0</v>
      </c>
      <c r="M44" s="33">
        <f>M108</f>
        <v>0</v>
      </c>
      <c r="N44" s="33"/>
      <c r="O44" s="33"/>
      <c r="P44" s="33"/>
      <c r="Q44" s="33"/>
      <c r="R44" s="33"/>
      <c r="S44" s="33">
        <f t="shared" si="19"/>
        <v>0</v>
      </c>
      <c r="AG44" s="52"/>
      <c r="AH44" s="52"/>
      <c r="AI44" s="52"/>
      <c r="AJ44" s="52"/>
      <c r="AM44" s="44"/>
    </row>
    <row r="45" spans="1:79" ht="54.75" hidden="1" customHeight="1" x14ac:dyDescent="0.25">
      <c r="A45" s="172"/>
      <c r="B45" s="173"/>
      <c r="C45" s="173"/>
      <c r="D45" s="169"/>
      <c r="E45" s="166"/>
      <c r="F45" s="165"/>
      <c r="G45" s="142" t="s">
        <v>244</v>
      </c>
      <c r="H45" s="142" t="s">
        <v>234</v>
      </c>
      <c r="I45" s="33">
        <f>I61+I81+I103+I291</f>
        <v>23653.57</v>
      </c>
      <c r="J45" s="33">
        <f>J111</f>
        <v>0</v>
      </c>
      <c r="K45" s="33">
        <f>K111</f>
        <v>0</v>
      </c>
      <c r="L45" s="33">
        <f>L111</f>
        <v>0</v>
      </c>
      <c r="M45" s="33">
        <f>M111</f>
        <v>0</v>
      </c>
      <c r="N45" s="33"/>
      <c r="O45" s="33"/>
      <c r="P45" s="33"/>
      <c r="Q45" s="33"/>
      <c r="R45" s="33"/>
      <c r="S45" s="33">
        <f t="shared" si="19"/>
        <v>23653.57</v>
      </c>
      <c r="AG45" s="52"/>
      <c r="AH45" s="52"/>
      <c r="AI45" s="52"/>
      <c r="AJ45" s="52"/>
      <c r="AM45" s="44"/>
    </row>
    <row r="46" spans="1:79" ht="54.75" hidden="1" customHeight="1" x14ac:dyDescent="0.25">
      <c r="A46" s="172"/>
      <c r="B46" s="173"/>
      <c r="C46" s="173"/>
      <c r="D46" s="169" t="s">
        <v>24</v>
      </c>
      <c r="E46" s="166">
        <v>922</v>
      </c>
      <c r="F46" s="165" t="s">
        <v>60</v>
      </c>
      <c r="G46" s="142" t="s">
        <v>244</v>
      </c>
      <c r="H46" s="142" t="s">
        <v>235</v>
      </c>
      <c r="I46" s="33">
        <f>I134</f>
        <v>4412.87</v>
      </c>
      <c r="J46" s="33">
        <f>J119</f>
        <v>0</v>
      </c>
      <c r="K46" s="33">
        <f>K119</f>
        <v>0</v>
      </c>
      <c r="L46" s="33">
        <f>L119</f>
        <v>0</v>
      </c>
      <c r="M46" s="33">
        <f>M119</f>
        <v>0</v>
      </c>
      <c r="N46" s="33"/>
      <c r="O46" s="33"/>
      <c r="P46" s="33"/>
      <c r="Q46" s="33"/>
      <c r="R46" s="33"/>
      <c r="S46" s="33">
        <f t="shared" si="19"/>
        <v>4412.87</v>
      </c>
      <c r="AG46" s="52"/>
      <c r="AH46" s="52"/>
      <c r="AI46" s="52"/>
      <c r="AJ46" s="52"/>
      <c r="AM46" s="44"/>
    </row>
    <row r="47" spans="1:79" ht="54.75" hidden="1" customHeight="1" x14ac:dyDescent="0.25">
      <c r="A47" s="172"/>
      <c r="B47" s="173"/>
      <c r="C47" s="173"/>
      <c r="D47" s="169"/>
      <c r="E47" s="166"/>
      <c r="F47" s="165"/>
      <c r="G47" s="142" t="s">
        <v>244</v>
      </c>
      <c r="H47" s="142" t="s">
        <v>234</v>
      </c>
      <c r="I47" s="33">
        <f>I138</f>
        <v>29530.57</v>
      </c>
      <c r="J47" s="33">
        <f>J123</f>
        <v>0</v>
      </c>
      <c r="K47" s="33">
        <f>K123</f>
        <v>0</v>
      </c>
      <c r="L47" s="33">
        <f>L123</f>
        <v>0</v>
      </c>
      <c r="M47" s="33">
        <f>M123</f>
        <v>0</v>
      </c>
      <c r="N47" s="33"/>
      <c r="O47" s="33"/>
      <c r="P47" s="33"/>
      <c r="Q47" s="33"/>
      <c r="R47" s="33"/>
      <c r="S47" s="33">
        <f t="shared" si="19"/>
        <v>29530.57</v>
      </c>
      <c r="AG47" s="52"/>
      <c r="AH47" s="52"/>
      <c r="AI47" s="52"/>
      <c r="AJ47" s="52"/>
      <c r="AM47" s="44"/>
    </row>
    <row r="48" spans="1:79" ht="54.75" hidden="1" customHeight="1" x14ac:dyDescent="0.25">
      <c r="A48" s="172"/>
      <c r="B48" s="173"/>
      <c r="C48" s="173"/>
      <c r="D48" s="147" t="s">
        <v>25</v>
      </c>
      <c r="E48" s="141">
        <v>925</v>
      </c>
      <c r="F48" s="142" t="s">
        <v>60</v>
      </c>
      <c r="G48" s="142" t="s">
        <v>244</v>
      </c>
      <c r="H48" s="142" t="s">
        <v>234</v>
      </c>
      <c r="I48" s="33">
        <f>I142</f>
        <v>30800.199999999997</v>
      </c>
      <c r="J48" s="33">
        <f>J127</f>
        <v>0</v>
      </c>
      <c r="K48" s="33">
        <f>K127</f>
        <v>0</v>
      </c>
      <c r="L48" s="33">
        <f>L127</f>
        <v>0</v>
      </c>
      <c r="M48" s="33">
        <f>M127</f>
        <v>0</v>
      </c>
      <c r="N48" s="33"/>
      <c r="O48" s="33"/>
      <c r="P48" s="33"/>
      <c r="Q48" s="33"/>
      <c r="R48" s="33"/>
      <c r="S48" s="33">
        <f t="shared" si="19"/>
        <v>30800.199999999997</v>
      </c>
      <c r="AG48" s="52"/>
      <c r="AH48" s="52"/>
      <c r="AI48" s="52"/>
      <c r="AJ48" s="52"/>
      <c r="AM48" s="44"/>
    </row>
    <row r="49" spans="1:79" ht="54.75" hidden="1" customHeight="1" x14ac:dyDescent="0.25">
      <c r="A49" s="172"/>
      <c r="B49" s="173"/>
      <c r="C49" s="173"/>
      <c r="D49" s="169" t="s">
        <v>26</v>
      </c>
      <c r="E49" s="166">
        <v>928</v>
      </c>
      <c r="F49" s="165" t="s">
        <v>60</v>
      </c>
      <c r="G49" s="142" t="s">
        <v>244</v>
      </c>
      <c r="H49" s="142" t="s">
        <v>235</v>
      </c>
      <c r="I49" s="33">
        <f>I150</f>
        <v>2743.84</v>
      </c>
      <c r="J49" s="33">
        <f>J135</f>
        <v>0</v>
      </c>
      <c r="K49" s="33">
        <f>K135</f>
        <v>0</v>
      </c>
      <c r="L49" s="33">
        <f>L135</f>
        <v>0</v>
      </c>
      <c r="M49" s="33">
        <f>M135</f>
        <v>0</v>
      </c>
      <c r="N49" s="33"/>
      <c r="O49" s="33"/>
      <c r="P49" s="33"/>
      <c r="Q49" s="33"/>
      <c r="R49" s="33"/>
      <c r="S49" s="33">
        <f t="shared" si="19"/>
        <v>2743.84</v>
      </c>
      <c r="AG49" s="52"/>
      <c r="AH49" s="52"/>
      <c r="AI49" s="52"/>
      <c r="AJ49" s="52"/>
      <c r="AM49" s="44"/>
    </row>
    <row r="50" spans="1:79" ht="54.75" hidden="1" customHeight="1" x14ac:dyDescent="0.25">
      <c r="A50" s="172"/>
      <c r="B50" s="173"/>
      <c r="C50" s="173"/>
      <c r="D50" s="169"/>
      <c r="E50" s="166"/>
      <c r="F50" s="165"/>
      <c r="G50" s="142" t="s">
        <v>244</v>
      </c>
      <c r="H50" s="142" t="s">
        <v>234</v>
      </c>
      <c r="I50" s="33">
        <f>I154</f>
        <v>32293.989999999998</v>
      </c>
      <c r="J50" s="33">
        <f>J139</f>
        <v>0</v>
      </c>
      <c r="K50" s="33">
        <f>K139</f>
        <v>0</v>
      </c>
      <c r="L50" s="33">
        <f>L139</f>
        <v>0</v>
      </c>
      <c r="M50" s="33">
        <f>M139</f>
        <v>0</v>
      </c>
      <c r="N50" s="33"/>
      <c r="O50" s="33"/>
      <c r="P50" s="33"/>
      <c r="Q50" s="33"/>
      <c r="R50" s="33"/>
      <c r="S50" s="33">
        <f t="shared" si="19"/>
        <v>32293.989999999998</v>
      </c>
      <c r="AG50" s="52"/>
      <c r="AH50" s="52"/>
      <c r="AI50" s="52"/>
      <c r="AJ50" s="52"/>
      <c r="AM50" s="44"/>
    </row>
    <row r="51" spans="1:79" ht="54.75" hidden="1" customHeight="1" x14ac:dyDescent="0.25">
      <c r="A51" s="172"/>
      <c r="B51" s="173"/>
      <c r="C51" s="173"/>
      <c r="D51" s="168" t="s">
        <v>27</v>
      </c>
      <c r="E51" s="166">
        <v>931</v>
      </c>
      <c r="F51" s="165" t="s">
        <v>60</v>
      </c>
      <c r="G51" s="142" t="s">
        <v>244</v>
      </c>
      <c r="H51" s="142" t="s">
        <v>235</v>
      </c>
      <c r="I51" s="33">
        <f>I162</f>
        <v>0</v>
      </c>
      <c r="J51" s="33">
        <f>J147</f>
        <v>0</v>
      </c>
      <c r="K51" s="33">
        <f>K147</f>
        <v>0</v>
      </c>
      <c r="L51" s="33">
        <f>L147</f>
        <v>0</v>
      </c>
      <c r="M51" s="33">
        <f>M147</f>
        <v>0</v>
      </c>
      <c r="N51" s="33"/>
      <c r="O51" s="33"/>
      <c r="P51" s="33"/>
      <c r="Q51" s="33"/>
      <c r="R51" s="33"/>
      <c r="S51" s="33">
        <f t="shared" si="19"/>
        <v>0</v>
      </c>
      <c r="AG51" s="52"/>
      <c r="AH51" s="52"/>
      <c r="AI51" s="52"/>
      <c r="AJ51" s="52"/>
      <c r="AM51" s="44"/>
    </row>
    <row r="52" spans="1:79" ht="54.75" hidden="1" customHeight="1" x14ac:dyDescent="0.25">
      <c r="A52" s="172"/>
      <c r="B52" s="173"/>
      <c r="C52" s="173"/>
      <c r="D52" s="168"/>
      <c r="E52" s="166"/>
      <c r="F52" s="165"/>
      <c r="G52" s="142" t="s">
        <v>244</v>
      </c>
      <c r="H52" s="142" t="s">
        <v>234</v>
      </c>
      <c r="I52" s="33">
        <f>I166</f>
        <v>79892.12</v>
      </c>
      <c r="J52" s="33">
        <f>J151</f>
        <v>0</v>
      </c>
      <c r="K52" s="33">
        <f>K151</f>
        <v>0</v>
      </c>
      <c r="L52" s="33">
        <f>L151</f>
        <v>0</v>
      </c>
      <c r="M52" s="33">
        <f>M151</f>
        <v>0</v>
      </c>
      <c r="N52" s="33"/>
      <c r="O52" s="33"/>
      <c r="P52" s="33"/>
      <c r="Q52" s="33"/>
      <c r="R52" s="33"/>
      <c r="S52" s="33">
        <f t="shared" si="19"/>
        <v>79892.12</v>
      </c>
      <c r="AG52" s="52"/>
      <c r="AH52" s="52"/>
      <c r="AI52" s="52"/>
      <c r="AJ52" s="52"/>
      <c r="AM52" s="44"/>
    </row>
    <row r="53" spans="1:79" ht="54.75" hidden="1" customHeight="1" x14ac:dyDescent="0.25">
      <c r="A53" s="172"/>
      <c r="B53" s="173"/>
      <c r="C53" s="173"/>
      <c r="D53" s="169" t="s">
        <v>28</v>
      </c>
      <c r="E53" s="166">
        <v>934</v>
      </c>
      <c r="F53" s="165" t="s">
        <v>60</v>
      </c>
      <c r="G53" s="142" t="s">
        <v>244</v>
      </c>
      <c r="H53" s="142" t="s">
        <v>235</v>
      </c>
      <c r="I53" s="33">
        <f>I159</f>
        <v>48762.01</v>
      </c>
      <c r="J53" s="33">
        <f>J159</f>
        <v>0</v>
      </c>
      <c r="K53" s="33">
        <f>K159</f>
        <v>0</v>
      </c>
      <c r="L53" s="33">
        <f>L159</f>
        <v>0</v>
      </c>
      <c r="M53" s="33">
        <f>M159</f>
        <v>0</v>
      </c>
      <c r="N53" s="33"/>
      <c r="O53" s="33"/>
      <c r="P53" s="33"/>
      <c r="Q53" s="33"/>
      <c r="R53" s="33"/>
      <c r="S53" s="33">
        <f t="shared" si="19"/>
        <v>48762.01</v>
      </c>
      <c r="AG53" s="52"/>
      <c r="AH53" s="52"/>
      <c r="AI53" s="52"/>
      <c r="AJ53" s="52"/>
      <c r="AM53" s="44"/>
    </row>
    <row r="54" spans="1:79" ht="54.75" hidden="1" customHeight="1" x14ac:dyDescent="0.25">
      <c r="A54" s="172"/>
      <c r="B54" s="173"/>
      <c r="C54" s="173"/>
      <c r="D54" s="169"/>
      <c r="E54" s="166"/>
      <c r="F54" s="165"/>
      <c r="G54" s="142" t="s">
        <v>244</v>
      </c>
      <c r="H54" s="142" t="s">
        <v>234</v>
      </c>
      <c r="I54" s="33">
        <f>I163</f>
        <v>0</v>
      </c>
      <c r="J54" s="33">
        <f>J163</f>
        <v>0</v>
      </c>
      <c r="K54" s="33">
        <f>K163</f>
        <v>0</v>
      </c>
      <c r="L54" s="33">
        <f>L163</f>
        <v>0</v>
      </c>
      <c r="M54" s="33">
        <f>M163</f>
        <v>0</v>
      </c>
      <c r="N54" s="33"/>
      <c r="O54" s="33"/>
      <c r="P54" s="33"/>
      <c r="Q54" s="33"/>
      <c r="R54" s="33"/>
      <c r="S54" s="33">
        <f t="shared" si="19"/>
        <v>0</v>
      </c>
      <c r="AG54" s="52"/>
      <c r="AH54" s="52"/>
      <c r="AI54" s="52"/>
      <c r="AJ54" s="52"/>
      <c r="AM54" s="44"/>
    </row>
    <row r="55" spans="1:79" ht="54.75" hidden="1" customHeight="1" x14ac:dyDescent="0.25">
      <c r="A55" s="172"/>
      <c r="B55" s="173"/>
      <c r="C55" s="173"/>
      <c r="D55" s="169" t="s">
        <v>29</v>
      </c>
      <c r="E55" s="166">
        <v>937</v>
      </c>
      <c r="F55" s="165" t="s">
        <v>60</v>
      </c>
      <c r="G55" s="142" t="s">
        <v>244</v>
      </c>
      <c r="H55" s="142" t="s">
        <v>235</v>
      </c>
      <c r="I55" s="33">
        <f>I171</f>
        <v>13730.51</v>
      </c>
      <c r="J55" s="33">
        <f>J171</f>
        <v>0</v>
      </c>
      <c r="K55" s="33">
        <f>K171</f>
        <v>0</v>
      </c>
      <c r="L55" s="33">
        <f>L171</f>
        <v>0</v>
      </c>
      <c r="M55" s="33">
        <f>M171</f>
        <v>0</v>
      </c>
      <c r="N55" s="33"/>
      <c r="O55" s="33"/>
      <c r="P55" s="33"/>
      <c r="Q55" s="33"/>
      <c r="R55" s="33"/>
      <c r="S55" s="33">
        <f t="shared" si="19"/>
        <v>13730.51</v>
      </c>
      <c r="AG55" s="52"/>
      <c r="AH55" s="52"/>
      <c r="AI55" s="52"/>
      <c r="AJ55" s="52"/>
      <c r="AM55" s="44"/>
    </row>
    <row r="56" spans="1:79" ht="54.75" hidden="1" customHeight="1" x14ac:dyDescent="0.25">
      <c r="A56" s="172"/>
      <c r="B56" s="173"/>
      <c r="C56" s="173"/>
      <c r="D56" s="169"/>
      <c r="E56" s="166"/>
      <c r="F56" s="165"/>
      <c r="G56" s="142" t="s">
        <v>244</v>
      </c>
      <c r="H56" s="142" t="s">
        <v>234</v>
      </c>
      <c r="I56" s="33">
        <f>I190</f>
        <v>644.77</v>
      </c>
      <c r="J56" s="33">
        <f>J175</f>
        <v>0</v>
      </c>
      <c r="K56" s="33">
        <f>K175</f>
        <v>0</v>
      </c>
      <c r="L56" s="33">
        <f>L175</f>
        <v>0</v>
      </c>
      <c r="M56" s="33">
        <f>M175</f>
        <v>0</v>
      </c>
      <c r="N56" s="33"/>
      <c r="O56" s="33"/>
      <c r="P56" s="33"/>
      <c r="Q56" s="33"/>
      <c r="R56" s="33"/>
      <c r="S56" s="33">
        <f t="shared" si="19"/>
        <v>644.77</v>
      </c>
      <c r="AG56" s="52"/>
      <c r="AH56" s="52"/>
      <c r="AI56" s="52"/>
      <c r="AJ56" s="52"/>
      <c r="AM56" s="44"/>
    </row>
    <row r="57" spans="1:79" ht="33" customHeight="1" x14ac:dyDescent="0.25">
      <c r="A57" s="172"/>
      <c r="B57" s="173"/>
      <c r="C57" s="173" t="s">
        <v>178</v>
      </c>
      <c r="D57" s="147" t="s">
        <v>10</v>
      </c>
      <c r="E57" s="142" t="s">
        <v>74</v>
      </c>
      <c r="F57" s="142" t="s">
        <v>74</v>
      </c>
      <c r="G57" s="142" t="s">
        <v>244</v>
      </c>
      <c r="H57" s="142" t="s">
        <v>74</v>
      </c>
      <c r="I57" s="33">
        <f t="shared" ref="I57:N57" si="20">I111+I115</f>
        <v>205839.90992999997</v>
      </c>
      <c r="J57" s="33">
        <f t="shared" si="20"/>
        <v>0</v>
      </c>
      <c r="K57" s="33">
        <f t="shared" si="20"/>
        <v>0</v>
      </c>
      <c r="L57" s="33">
        <f t="shared" si="20"/>
        <v>0</v>
      </c>
      <c r="M57" s="33">
        <f t="shared" si="20"/>
        <v>0</v>
      </c>
      <c r="N57" s="33">
        <f t="shared" si="20"/>
        <v>0</v>
      </c>
      <c r="O57" s="33">
        <v>0</v>
      </c>
      <c r="P57" s="33">
        <v>0</v>
      </c>
      <c r="Q57" s="33">
        <v>0</v>
      </c>
      <c r="R57" s="33">
        <v>0</v>
      </c>
      <c r="S57" s="33">
        <f>SUM(I57:R57)</f>
        <v>205839.90992999997</v>
      </c>
      <c r="AG57" s="52"/>
      <c r="AH57" s="52"/>
      <c r="AI57" s="52"/>
      <c r="AJ57" s="52"/>
      <c r="AM57" s="44"/>
    </row>
    <row r="58" spans="1:79" ht="56.25" x14ac:dyDescent="0.25">
      <c r="A58" s="172"/>
      <c r="B58" s="173"/>
      <c r="C58" s="173"/>
      <c r="D58" s="140" t="s">
        <v>11</v>
      </c>
      <c r="E58" s="141">
        <v>915</v>
      </c>
      <c r="F58" s="142" t="s">
        <v>60</v>
      </c>
      <c r="G58" s="142" t="s">
        <v>244</v>
      </c>
      <c r="H58" s="142" t="s">
        <v>263</v>
      </c>
      <c r="I58" s="33">
        <f t="shared" ref="I58:N58" si="21">I111</f>
        <v>67081.299929999994</v>
      </c>
      <c r="J58" s="33">
        <f t="shared" si="21"/>
        <v>0</v>
      </c>
      <c r="K58" s="33">
        <f t="shared" si="21"/>
        <v>0</v>
      </c>
      <c r="L58" s="33">
        <f t="shared" si="21"/>
        <v>0</v>
      </c>
      <c r="M58" s="33">
        <f t="shared" si="21"/>
        <v>0</v>
      </c>
      <c r="N58" s="33">
        <f t="shared" si="21"/>
        <v>0</v>
      </c>
      <c r="O58" s="33">
        <v>0</v>
      </c>
      <c r="P58" s="33">
        <v>0</v>
      </c>
      <c r="Q58" s="33">
        <v>0</v>
      </c>
      <c r="R58" s="33">
        <v>0</v>
      </c>
      <c r="S58" s="33">
        <f>SUM(I58:R58)</f>
        <v>67081.299929999994</v>
      </c>
      <c r="AG58" s="52"/>
      <c r="AH58" s="52"/>
      <c r="AI58" s="52"/>
      <c r="AJ58" s="52"/>
      <c r="AM58" s="44"/>
    </row>
    <row r="59" spans="1:79" ht="71.25" customHeight="1" x14ac:dyDescent="0.25">
      <c r="A59" s="172"/>
      <c r="B59" s="173"/>
      <c r="C59" s="173"/>
      <c r="D59" s="147" t="s">
        <v>13</v>
      </c>
      <c r="E59" s="142" t="s">
        <v>53</v>
      </c>
      <c r="F59" s="142" t="s">
        <v>60</v>
      </c>
      <c r="G59" s="142" t="s">
        <v>244</v>
      </c>
      <c r="H59" s="142" t="s">
        <v>74</v>
      </c>
      <c r="I59" s="33">
        <f>I61+I62+I65+I66+I70+I71+I74</f>
        <v>138758.60999999999</v>
      </c>
      <c r="J59" s="33">
        <f>SUM(J60:J76)</f>
        <v>0</v>
      </c>
      <c r="K59" s="33">
        <f>SUM(K60:K76)</f>
        <v>0</v>
      </c>
      <c r="L59" s="33">
        <f>SUM(L60:L76)</f>
        <v>0</v>
      </c>
      <c r="M59" s="33">
        <f>SUM(M60:M76)</f>
        <v>0</v>
      </c>
      <c r="N59" s="33">
        <f>SUM(N60:N76)</f>
        <v>0</v>
      </c>
      <c r="O59" s="33">
        <v>0</v>
      </c>
      <c r="P59" s="33">
        <v>0</v>
      </c>
      <c r="Q59" s="33">
        <v>0</v>
      </c>
      <c r="R59" s="33">
        <v>0</v>
      </c>
      <c r="S59" s="33">
        <f>SUM(I59:R59)</f>
        <v>138758.60999999999</v>
      </c>
      <c r="AG59" s="52"/>
      <c r="AH59" s="52"/>
      <c r="AI59" s="52"/>
      <c r="AJ59" s="52"/>
      <c r="AM59" s="44"/>
      <c r="CA59" s="44">
        <f>I57+I77</f>
        <v>332563.69987999997</v>
      </c>
    </row>
    <row r="60" spans="1:79" ht="3" hidden="1" customHeight="1" x14ac:dyDescent="0.25">
      <c r="A60" s="172"/>
      <c r="B60" s="173"/>
      <c r="C60" s="173"/>
      <c r="D60" s="169" t="s">
        <v>23</v>
      </c>
      <c r="E60" s="166">
        <v>919</v>
      </c>
      <c r="F60" s="165" t="s">
        <v>60</v>
      </c>
      <c r="G60" s="141">
        <v>0</v>
      </c>
      <c r="H60" s="142" t="s">
        <v>245</v>
      </c>
      <c r="I60" s="33">
        <f t="shared" ref="I60:N60" si="22">I123</f>
        <v>0</v>
      </c>
      <c r="J60" s="33">
        <f t="shared" si="22"/>
        <v>0</v>
      </c>
      <c r="K60" s="33">
        <f t="shared" si="22"/>
        <v>0</v>
      </c>
      <c r="L60" s="33">
        <f t="shared" si="22"/>
        <v>0</v>
      </c>
      <c r="M60" s="33">
        <f t="shared" si="22"/>
        <v>0</v>
      </c>
      <c r="N60" s="33">
        <f t="shared" si="22"/>
        <v>0</v>
      </c>
      <c r="O60" s="33"/>
      <c r="P60" s="33"/>
      <c r="Q60" s="33"/>
      <c r="R60" s="33"/>
      <c r="S60" s="33">
        <f t="shared" si="19"/>
        <v>0</v>
      </c>
      <c r="AG60" s="52"/>
      <c r="AH60" s="52"/>
      <c r="AI60" s="52"/>
      <c r="AJ60" s="52"/>
      <c r="AM60" s="44"/>
    </row>
    <row r="61" spans="1:79" ht="59.25" customHeight="1" x14ac:dyDescent="0.25">
      <c r="A61" s="172"/>
      <c r="B61" s="173"/>
      <c r="C61" s="173"/>
      <c r="D61" s="169"/>
      <c r="E61" s="166"/>
      <c r="F61" s="165"/>
      <c r="G61" s="142" t="s">
        <v>244</v>
      </c>
      <c r="H61" s="142" t="s">
        <v>87</v>
      </c>
      <c r="I61" s="33">
        <f t="shared" ref="I61:N61" si="23">I127</f>
        <v>14530.68</v>
      </c>
      <c r="J61" s="33">
        <f t="shared" si="23"/>
        <v>0</v>
      </c>
      <c r="K61" s="33">
        <f t="shared" si="23"/>
        <v>0</v>
      </c>
      <c r="L61" s="33">
        <f t="shared" si="23"/>
        <v>0</v>
      </c>
      <c r="M61" s="33">
        <f t="shared" si="23"/>
        <v>0</v>
      </c>
      <c r="N61" s="33">
        <f t="shared" si="23"/>
        <v>0</v>
      </c>
      <c r="O61" s="33">
        <v>0</v>
      </c>
      <c r="P61" s="33">
        <v>0</v>
      </c>
      <c r="Q61" s="33">
        <v>0</v>
      </c>
      <c r="R61" s="33">
        <v>0</v>
      </c>
      <c r="S61" s="33">
        <f>SUM(I61:R61)</f>
        <v>14530.68</v>
      </c>
      <c r="AG61" s="52"/>
      <c r="AH61" s="52"/>
      <c r="AI61" s="52"/>
      <c r="AJ61" s="52"/>
      <c r="AM61" s="44"/>
    </row>
    <row r="62" spans="1:79" ht="37.5" x14ac:dyDescent="0.25">
      <c r="A62" s="172"/>
      <c r="B62" s="173"/>
      <c r="C62" s="173"/>
      <c r="D62" s="147" t="s">
        <v>24</v>
      </c>
      <c r="E62" s="141">
        <v>922</v>
      </c>
      <c r="F62" s="142" t="s">
        <v>60</v>
      </c>
      <c r="G62" s="142" t="s">
        <v>244</v>
      </c>
      <c r="H62" s="142" t="s">
        <v>262</v>
      </c>
      <c r="I62" s="33">
        <f t="shared" ref="I62:N62" si="24">I63+I64</f>
        <v>20847.649999999998</v>
      </c>
      <c r="J62" s="33">
        <f t="shared" si="24"/>
        <v>0</v>
      </c>
      <c r="K62" s="33">
        <f t="shared" si="24"/>
        <v>0</v>
      </c>
      <c r="L62" s="33">
        <f t="shared" si="24"/>
        <v>0</v>
      </c>
      <c r="M62" s="33">
        <f t="shared" si="24"/>
        <v>0</v>
      </c>
      <c r="N62" s="33">
        <f t="shared" si="24"/>
        <v>0</v>
      </c>
      <c r="O62" s="33">
        <v>0</v>
      </c>
      <c r="P62" s="33">
        <v>0</v>
      </c>
      <c r="Q62" s="33">
        <v>0</v>
      </c>
      <c r="R62" s="33">
        <v>0</v>
      </c>
      <c r="S62" s="33">
        <f>SUM(I62:R62)</f>
        <v>20847.649999999998</v>
      </c>
      <c r="AG62" s="52"/>
      <c r="AH62" s="52"/>
      <c r="AI62" s="52"/>
      <c r="AJ62" s="52"/>
      <c r="AM62" s="44"/>
    </row>
    <row r="63" spans="1:79" ht="38.25" hidden="1" customHeight="1" x14ac:dyDescent="0.25">
      <c r="A63" s="172"/>
      <c r="B63" s="173"/>
      <c r="C63" s="173"/>
      <c r="D63" s="169" t="s">
        <v>24</v>
      </c>
      <c r="E63" s="166">
        <v>922</v>
      </c>
      <c r="F63" s="165" t="s">
        <v>60</v>
      </c>
      <c r="G63" s="142" t="s">
        <v>244</v>
      </c>
      <c r="H63" s="142" t="s">
        <v>235</v>
      </c>
      <c r="I63" s="33">
        <f t="shared" ref="I63:N63" si="25">I135</f>
        <v>2731.12</v>
      </c>
      <c r="J63" s="33">
        <f t="shared" si="25"/>
        <v>0</v>
      </c>
      <c r="K63" s="33">
        <f t="shared" si="25"/>
        <v>0</v>
      </c>
      <c r="L63" s="33">
        <f t="shared" si="25"/>
        <v>0</v>
      </c>
      <c r="M63" s="33">
        <f t="shared" si="25"/>
        <v>0</v>
      </c>
      <c r="N63" s="33">
        <f t="shared" si="25"/>
        <v>0</v>
      </c>
      <c r="O63" s="33"/>
      <c r="P63" s="33"/>
      <c r="Q63" s="33"/>
      <c r="R63" s="33"/>
      <c r="S63" s="33">
        <f t="shared" si="19"/>
        <v>2731.12</v>
      </c>
      <c r="AG63" s="52"/>
      <c r="AH63" s="52"/>
      <c r="AI63" s="52"/>
      <c r="AJ63" s="52"/>
      <c r="AM63" s="44"/>
    </row>
    <row r="64" spans="1:79" ht="38.25" hidden="1" customHeight="1" x14ac:dyDescent="0.25">
      <c r="A64" s="172"/>
      <c r="B64" s="173"/>
      <c r="C64" s="173"/>
      <c r="D64" s="169"/>
      <c r="E64" s="166"/>
      <c r="F64" s="165"/>
      <c r="G64" s="142" t="s">
        <v>244</v>
      </c>
      <c r="H64" s="142" t="s">
        <v>234</v>
      </c>
      <c r="I64" s="33">
        <f t="shared" ref="I64:N64" si="26">I139</f>
        <v>18116.53</v>
      </c>
      <c r="J64" s="33">
        <f t="shared" si="26"/>
        <v>0</v>
      </c>
      <c r="K64" s="33">
        <f t="shared" si="26"/>
        <v>0</v>
      </c>
      <c r="L64" s="33">
        <f t="shared" si="26"/>
        <v>0</v>
      </c>
      <c r="M64" s="33">
        <f t="shared" si="26"/>
        <v>0</v>
      </c>
      <c r="N64" s="33">
        <f t="shared" si="26"/>
        <v>0</v>
      </c>
      <c r="O64" s="33"/>
      <c r="P64" s="33"/>
      <c r="Q64" s="33"/>
      <c r="R64" s="33"/>
      <c r="S64" s="33">
        <f t="shared" si="19"/>
        <v>18116.53</v>
      </c>
      <c r="AG64" s="52"/>
      <c r="AH64" s="52"/>
      <c r="AI64" s="52"/>
      <c r="AJ64" s="52"/>
      <c r="AM64" s="44"/>
    </row>
    <row r="65" spans="1:39" ht="43.5" customHeight="1" x14ac:dyDescent="0.25">
      <c r="A65" s="172"/>
      <c r="B65" s="173"/>
      <c r="C65" s="173"/>
      <c r="D65" s="147" t="s">
        <v>25</v>
      </c>
      <c r="E65" s="141">
        <v>925</v>
      </c>
      <c r="F65" s="142" t="s">
        <v>60</v>
      </c>
      <c r="G65" s="142" t="s">
        <v>244</v>
      </c>
      <c r="H65" s="142" t="s">
        <v>87</v>
      </c>
      <c r="I65" s="33">
        <f t="shared" ref="I65:N65" si="27">I143</f>
        <v>18879</v>
      </c>
      <c r="J65" s="33">
        <f t="shared" si="27"/>
        <v>0</v>
      </c>
      <c r="K65" s="33">
        <f t="shared" si="27"/>
        <v>0</v>
      </c>
      <c r="L65" s="33">
        <f t="shared" si="27"/>
        <v>0</v>
      </c>
      <c r="M65" s="33">
        <f t="shared" si="27"/>
        <v>0</v>
      </c>
      <c r="N65" s="33">
        <f t="shared" si="27"/>
        <v>0</v>
      </c>
      <c r="O65" s="33">
        <v>0</v>
      </c>
      <c r="P65" s="33">
        <v>0</v>
      </c>
      <c r="Q65" s="33">
        <v>0</v>
      </c>
      <c r="R65" s="33">
        <v>0</v>
      </c>
      <c r="S65" s="33">
        <f>SUM(I65:R65)</f>
        <v>18879</v>
      </c>
      <c r="AG65" s="52"/>
      <c r="AH65" s="52"/>
      <c r="AI65" s="52"/>
      <c r="AJ65" s="52"/>
      <c r="AM65" s="44"/>
    </row>
    <row r="66" spans="1:39" ht="37.5" x14ac:dyDescent="0.25">
      <c r="A66" s="172"/>
      <c r="B66" s="173"/>
      <c r="C66" s="173"/>
      <c r="D66" s="147" t="s">
        <v>26</v>
      </c>
      <c r="E66" s="141">
        <v>928</v>
      </c>
      <c r="F66" s="142" t="s">
        <v>60</v>
      </c>
      <c r="G66" s="142" t="s">
        <v>244</v>
      </c>
      <c r="H66" s="142" t="s">
        <v>262</v>
      </c>
      <c r="I66" s="20">
        <f>I67+I68+0.01</f>
        <v>21610.679999999997</v>
      </c>
      <c r="J66" s="33">
        <f>J67+J68</f>
        <v>0</v>
      </c>
      <c r="K66" s="33">
        <f>K67+K68</f>
        <v>0</v>
      </c>
      <c r="L66" s="33">
        <f>L67+L68</f>
        <v>0</v>
      </c>
      <c r="M66" s="33">
        <f>M67+M68</f>
        <v>0</v>
      </c>
      <c r="N66" s="33">
        <f>N67+N68</f>
        <v>0</v>
      </c>
      <c r="O66" s="33">
        <v>0</v>
      </c>
      <c r="P66" s="33">
        <v>0</v>
      </c>
      <c r="Q66" s="33">
        <v>0</v>
      </c>
      <c r="R66" s="33">
        <v>0</v>
      </c>
      <c r="S66" s="33">
        <f>SUM(I66:R66)</f>
        <v>21610.679999999997</v>
      </c>
      <c r="AG66" s="52"/>
      <c r="AH66" s="52"/>
      <c r="AI66" s="52"/>
      <c r="AJ66" s="52"/>
      <c r="AM66" s="44"/>
    </row>
    <row r="67" spans="1:39" ht="38.25" hidden="1" customHeight="1" x14ac:dyDescent="0.25">
      <c r="A67" s="172"/>
      <c r="B67" s="173"/>
      <c r="C67" s="173"/>
      <c r="D67" s="169" t="s">
        <v>26</v>
      </c>
      <c r="E67" s="166">
        <v>928</v>
      </c>
      <c r="F67" s="165" t="s">
        <v>60</v>
      </c>
      <c r="G67" s="142" t="s">
        <v>244</v>
      </c>
      <c r="H67" s="142" t="s">
        <v>235</v>
      </c>
      <c r="I67" s="33">
        <f t="shared" ref="I67:N67" si="28">I151</f>
        <v>1698.16</v>
      </c>
      <c r="J67" s="33">
        <f t="shared" si="28"/>
        <v>0</v>
      </c>
      <c r="K67" s="33">
        <f t="shared" si="28"/>
        <v>0</v>
      </c>
      <c r="L67" s="33">
        <f t="shared" si="28"/>
        <v>0</v>
      </c>
      <c r="M67" s="33">
        <f t="shared" si="28"/>
        <v>0</v>
      </c>
      <c r="N67" s="33">
        <f t="shared" si="28"/>
        <v>0</v>
      </c>
      <c r="O67" s="33"/>
      <c r="P67" s="33"/>
      <c r="Q67" s="33"/>
      <c r="R67" s="33"/>
      <c r="S67" s="33">
        <f t="shared" si="19"/>
        <v>1698.16</v>
      </c>
      <c r="AG67" s="52"/>
      <c r="AH67" s="52"/>
      <c r="AI67" s="52"/>
      <c r="AJ67" s="52"/>
      <c r="AM67" s="44"/>
    </row>
    <row r="68" spans="1:39" ht="38.25" hidden="1" customHeight="1" x14ac:dyDescent="0.25">
      <c r="A68" s="172"/>
      <c r="B68" s="173"/>
      <c r="C68" s="173"/>
      <c r="D68" s="169"/>
      <c r="E68" s="166"/>
      <c r="F68" s="165"/>
      <c r="G68" s="142" t="s">
        <v>244</v>
      </c>
      <c r="H68" s="142" t="s">
        <v>234</v>
      </c>
      <c r="I68" s="33">
        <f t="shared" ref="I68:N68" si="29">I155</f>
        <v>19912.509999999998</v>
      </c>
      <c r="J68" s="33">
        <f t="shared" si="29"/>
        <v>0</v>
      </c>
      <c r="K68" s="33">
        <f t="shared" si="29"/>
        <v>0</v>
      </c>
      <c r="L68" s="33">
        <f t="shared" si="29"/>
        <v>0</v>
      </c>
      <c r="M68" s="33">
        <f t="shared" si="29"/>
        <v>0</v>
      </c>
      <c r="N68" s="33">
        <f t="shared" si="29"/>
        <v>0</v>
      </c>
      <c r="O68" s="33"/>
      <c r="P68" s="33"/>
      <c r="Q68" s="33"/>
      <c r="R68" s="33"/>
      <c r="S68" s="33">
        <f t="shared" si="19"/>
        <v>19912.509999999998</v>
      </c>
      <c r="AG68" s="52"/>
      <c r="AH68" s="52"/>
      <c r="AI68" s="52"/>
      <c r="AJ68" s="52"/>
      <c r="AM68" s="44"/>
    </row>
    <row r="69" spans="1:39" ht="38.25" hidden="1" customHeight="1" x14ac:dyDescent="0.25">
      <c r="A69" s="172"/>
      <c r="B69" s="173"/>
      <c r="C69" s="173"/>
      <c r="D69" s="168" t="s">
        <v>27</v>
      </c>
      <c r="E69" s="166">
        <v>931</v>
      </c>
      <c r="F69" s="165" t="s">
        <v>60</v>
      </c>
      <c r="G69" s="142" t="s">
        <v>246</v>
      </c>
      <c r="H69" s="142" t="s">
        <v>235</v>
      </c>
      <c r="I69" s="33">
        <f t="shared" ref="I69:N69" si="30">I163</f>
        <v>0</v>
      </c>
      <c r="J69" s="33">
        <f t="shared" si="30"/>
        <v>0</v>
      </c>
      <c r="K69" s="33">
        <f t="shared" si="30"/>
        <v>0</v>
      </c>
      <c r="L69" s="33">
        <f t="shared" si="30"/>
        <v>0</v>
      </c>
      <c r="M69" s="33">
        <f t="shared" si="30"/>
        <v>0</v>
      </c>
      <c r="N69" s="33">
        <f t="shared" si="30"/>
        <v>0</v>
      </c>
      <c r="O69" s="33"/>
      <c r="P69" s="33"/>
      <c r="Q69" s="33"/>
      <c r="R69" s="33"/>
      <c r="S69" s="33">
        <f t="shared" si="19"/>
        <v>0</v>
      </c>
      <c r="AG69" s="52"/>
      <c r="AH69" s="52"/>
      <c r="AI69" s="52"/>
      <c r="AJ69" s="52"/>
      <c r="AM69" s="44"/>
    </row>
    <row r="70" spans="1:39" ht="37.5" x14ac:dyDescent="0.25">
      <c r="A70" s="172"/>
      <c r="B70" s="173"/>
      <c r="C70" s="173"/>
      <c r="D70" s="168"/>
      <c r="E70" s="166"/>
      <c r="F70" s="165"/>
      <c r="G70" s="142" t="s">
        <v>244</v>
      </c>
      <c r="H70" s="142" t="s">
        <v>262</v>
      </c>
      <c r="I70" s="33">
        <f>I159</f>
        <v>48762.01</v>
      </c>
      <c r="J70" s="33">
        <f>J167</f>
        <v>0</v>
      </c>
      <c r="K70" s="33">
        <f>K167</f>
        <v>0</v>
      </c>
      <c r="L70" s="33">
        <f>L167</f>
        <v>0</v>
      </c>
      <c r="M70" s="33">
        <f>M167</f>
        <v>0</v>
      </c>
      <c r="N70" s="33">
        <f>N167</f>
        <v>0</v>
      </c>
      <c r="O70" s="33">
        <v>0</v>
      </c>
      <c r="P70" s="33">
        <v>0</v>
      </c>
      <c r="Q70" s="33">
        <v>0</v>
      </c>
      <c r="R70" s="33">
        <v>0</v>
      </c>
      <c r="S70" s="33">
        <f>SUM(I70:R70)</f>
        <v>48762.01</v>
      </c>
      <c r="AG70" s="52"/>
      <c r="AH70" s="52"/>
      <c r="AI70" s="52"/>
      <c r="AJ70" s="52"/>
      <c r="AM70" s="44"/>
    </row>
    <row r="71" spans="1:39" ht="37.5" x14ac:dyDescent="0.25">
      <c r="A71" s="172"/>
      <c r="B71" s="173"/>
      <c r="C71" s="173"/>
      <c r="D71" s="140" t="s">
        <v>28</v>
      </c>
      <c r="E71" s="141">
        <v>934</v>
      </c>
      <c r="F71" s="142" t="s">
        <v>60</v>
      </c>
      <c r="G71" s="142" t="s">
        <v>244</v>
      </c>
      <c r="H71" s="142" t="s">
        <v>262</v>
      </c>
      <c r="I71" s="33">
        <f>I72+I73-0.01</f>
        <v>13730.51</v>
      </c>
      <c r="J71" s="33">
        <f>J72+J73</f>
        <v>0</v>
      </c>
      <c r="K71" s="33">
        <f>K72+K73</f>
        <v>0</v>
      </c>
      <c r="L71" s="33">
        <f>L72+L73</f>
        <v>0</v>
      </c>
      <c r="M71" s="33">
        <f>M72+M73</f>
        <v>0</v>
      </c>
      <c r="N71" s="33">
        <f>N72+N73</f>
        <v>0</v>
      </c>
      <c r="O71" s="33">
        <v>0</v>
      </c>
      <c r="P71" s="33">
        <v>0</v>
      </c>
      <c r="Q71" s="33">
        <v>0</v>
      </c>
      <c r="R71" s="33">
        <v>0</v>
      </c>
      <c r="S71" s="33">
        <f>SUM(I71:R71)</f>
        <v>13730.51</v>
      </c>
      <c r="AG71" s="52"/>
      <c r="AH71" s="52"/>
      <c r="AI71" s="52"/>
      <c r="AJ71" s="52"/>
      <c r="AM71" s="44"/>
    </row>
    <row r="72" spans="1:39" ht="38.25" hidden="1" customHeight="1" x14ac:dyDescent="0.25">
      <c r="A72" s="172"/>
      <c r="B72" s="173"/>
      <c r="C72" s="173"/>
      <c r="D72" s="169" t="s">
        <v>28</v>
      </c>
      <c r="E72" s="166">
        <v>934</v>
      </c>
      <c r="F72" s="165" t="s">
        <v>60</v>
      </c>
      <c r="G72" s="142" t="s">
        <v>244</v>
      </c>
      <c r="H72" s="142" t="s">
        <v>235</v>
      </c>
      <c r="I72" s="33">
        <f t="shared" ref="I72:N72" si="31">I175</f>
        <v>10403.11</v>
      </c>
      <c r="J72" s="33">
        <f t="shared" si="31"/>
        <v>0</v>
      </c>
      <c r="K72" s="33">
        <f t="shared" si="31"/>
        <v>0</v>
      </c>
      <c r="L72" s="33">
        <f t="shared" si="31"/>
        <v>0</v>
      </c>
      <c r="M72" s="33">
        <f t="shared" si="31"/>
        <v>0</v>
      </c>
      <c r="N72" s="33">
        <f t="shared" si="31"/>
        <v>0</v>
      </c>
      <c r="O72" s="33"/>
      <c r="P72" s="33"/>
      <c r="Q72" s="33"/>
      <c r="R72" s="33"/>
      <c r="S72" s="33">
        <f t="shared" si="19"/>
        <v>10403.11</v>
      </c>
      <c r="AG72" s="52"/>
      <c r="AH72" s="52"/>
      <c r="AI72" s="52"/>
      <c r="AJ72" s="52"/>
      <c r="AM72" s="44"/>
    </row>
    <row r="73" spans="1:39" ht="25.5" hidden="1" customHeight="1" x14ac:dyDescent="0.25">
      <c r="A73" s="172"/>
      <c r="B73" s="173"/>
      <c r="C73" s="173"/>
      <c r="D73" s="169"/>
      <c r="E73" s="166"/>
      <c r="F73" s="165"/>
      <c r="G73" s="142" t="s">
        <v>244</v>
      </c>
      <c r="H73" s="142" t="s">
        <v>234</v>
      </c>
      <c r="I73" s="33">
        <f t="shared" ref="I73:N73" si="32">I179</f>
        <v>3327.41</v>
      </c>
      <c r="J73" s="33">
        <f t="shared" si="32"/>
        <v>0</v>
      </c>
      <c r="K73" s="33">
        <f t="shared" si="32"/>
        <v>0</v>
      </c>
      <c r="L73" s="33">
        <f t="shared" si="32"/>
        <v>0</v>
      </c>
      <c r="M73" s="33">
        <f t="shared" si="32"/>
        <v>0</v>
      </c>
      <c r="N73" s="33">
        <f t="shared" si="32"/>
        <v>0</v>
      </c>
      <c r="O73" s="33"/>
      <c r="P73" s="33"/>
      <c r="Q73" s="33"/>
      <c r="R73" s="33"/>
      <c r="S73" s="33">
        <f t="shared" si="19"/>
        <v>3327.41</v>
      </c>
      <c r="AG73" s="52"/>
      <c r="AH73" s="52"/>
      <c r="AI73" s="52"/>
      <c r="AJ73" s="52"/>
      <c r="AM73" s="44"/>
    </row>
    <row r="74" spans="1:39" ht="37.5" x14ac:dyDescent="0.25">
      <c r="A74" s="172"/>
      <c r="B74" s="173"/>
      <c r="C74" s="173"/>
      <c r="D74" s="147" t="s">
        <v>29</v>
      </c>
      <c r="E74" s="141">
        <v>937</v>
      </c>
      <c r="F74" s="142" t="s">
        <v>60</v>
      </c>
      <c r="G74" s="142" t="s">
        <v>244</v>
      </c>
      <c r="H74" s="142" t="s">
        <v>311</v>
      </c>
      <c r="I74" s="33">
        <f t="shared" ref="I74:N74" si="33">I75+I76</f>
        <v>398.08</v>
      </c>
      <c r="J74" s="33">
        <f t="shared" si="33"/>
        <v>0</v>
      </c>
      <c r="K74" s="33">
        <f t="shared" si="33"/>
        <v>0</v>
      </c>
      <c r="L74" s="33">
        <f t="shared" si="33"/>
        <v>0</v>
      </c>
      <c r="M74" s="33">
        <f t="shared" si="33"/>
        <v>0</v>
      </c>
      <c r="N74" s="33">
        <f t="shared" si="33"/>
        <v>0</v>
      </c>
      <c r="O74" s="33">
        <v>0</v>
      </c>
      <c r="P74" s="33">
        <v>0</v>
      </c>
      <c r="Q74" s="33">
        <v>0</v>
      </c>
      <c r="R74" s="33">
        <v>0</v>
      </c>
      <c r="S74" s="33">
        <f>SUM(I74:R74)</f>
        <v>398.08</v>
      </c>
      <c r="AG74" s="52"/>
      <c r="AH74" s="52"/>
      <c r="AI74" s="52"/>
      <c r="AJ74" s="52"/>
      <c r="AM74" s="44"/>
    </row>
    <row r="75" spans="1:39" ht="31.5" hidden="1" customHeight="1" x14ac:dyDescent="0.25">
      <c r="A75" s="172"/>
      <c r="B75" s="173"/>
      <c r="C75" s="173"/>
      <c r="D75" s="169" t="s">
        <v>29</v>
      </c>
      <c r="E75" s="166">
        <v>937</v>
      </c>
      <c r="F75" s="165" t="s">
        <v>60</v>
      </c>
      <c r="G75" s="142" t="s">
        <v>244</v>
      </c>
      <c r="H75" s="142" t="s">
        <v>235</v>
      </c>
      <c r="I75" s="33">
        <f>I186</f>
        <v>0</v>
      </c>
      <c r="J75" s="33">
        <f>J187</f>
        <v>0</v>
      </c>
      <c r="K75" s="33">
        <f>K187</f>
        <v>0</v>
      </c>
      <c r="L75" s="33">
        <f>L187</f>
        <v>0</v>
      </c>
      <c r="M75" s="33">
        <f>M187</f>
        <v>0</v>
      </c>
      <c r="N75" s="33">
        <f>N187</f>
        <v>0</v>
      </c>
      <c r="O75" s="33"/>
      <c r="P75" s="33"/>
      <c r="Q75" s="33"/>
      <c r="R75" s="33"/>
      <c r="S75" s="33">
        <f t="shared" si="19"/>
        <v>0</v>
      </c>
      <c r="AG75" s="52"/>
      <c r="AH75" s="52"/>
      <c r="AI75" s="52"/>
      <c r="AJ75" s="52"/>
      <c r="AM75" s="44"/>
    </row>
    <row r="76" spans="1:39" ht="57.75" hidden="1" customHeight="1" x14ac:dyDescent="0.25">
      <c r="A76" s="172"/>
      <c r="B76" s="173"/>
      <c r="C76" s="173"/>
      <c r="D76" s="169"/>
      <c r="E76" s="166"/>
      <c r="F76" s="165"/>
      <c r="G76" s="142" t="s">
        <v>244</v>
      </c>
      <c r="H76" s="142" t="s">
        <v>234</v>
      </c>
      <c r="I76" s="33">
        <f t="shared" ref="I76:N76" si="34">I191</f>
        <v>398.08</v>
      </c>
      <c r="J76" s="33">
        <f t="shared" si="34"/>
        <v>0</v>
      </c>
      <c r="K76" s="33">
        <f t="shared" si="34"/>
        <v>0</v>
      </c>
      <c r="L76" s="33">
        <f t="shared" si="34"/>
        <v>0</v>
      </c>
      <c r="M76" s="33">
        <f t="shared" si="34"/>
        <v>0</v>
      </c>
      <c r="N76" s="33">
        <f t="shared" si="34"/>
        <v>0</v>
      </c>
      <c r="O76" s="33"/>
      <c r="P76" s="33"/>
      <c r="Q76" s="33"/>
      <c r="R76" s="33"/>
      <c r="S76" s="33">
        <f t="shared" si="19"/>
        <v>398.08</v>
      </c>
      <c r="AG76" s="52"/>
      <c r="AH76" s="52"/>
      <c r="AI76" s="52"/>
      <c r="AJ76" s="52"/>
      <c r="AM76" s="44"/>
    </row>
    <row r="77" spans="1:39" ht="34.5" customHeight="1" x14ac:dyDescent="0.25">
      <c r="A77" s="172"/>
      <c r="B77" s="173"/>
      <c r="C77" s="173" t="s">
        <v>179</v>
      </c>
      <c r="D77" s="147" t="s">
        <v>10</v>
      </c>
      <c r="E77" s="142" t="s">
        <v>74</v>
      </c>
      <c r="F77" s="142" t="s">
        <v>74</v>
      </c>
      <c r="G77" s="142" t="s">
        <v>244</v>
      </c>
      <c r="H77" s="142" t="s">
        <v>74</v>
      </c>
      <c r="I77" s="33">
        <f t="shared" ref="I77:N77" si="35">I112+I116</f>
        <v>126723.78995000001</v>
      </c>
      <c r="J77" s="33">
        <f t="shared" si="35"/>
        <v>0</v>
      </c>
      <c r="K77" s="33">
        <f t="shared" si="35"/>
        <v>0</v>
      </c>
      <c r="L77" s="33">
        <f t="shared" si="35"/>
        <v>0</v>
      </c>
      <c r="M77" s="33">
        <f t="shared" si="35"/>
        <v>0</v>
      </c>
      <c r="N77" s="33">
        <f t="shared" si="35"/>
        <v>0</v>
      </c>
      <c r="O77" s="33">
        <v>0</v>
      </c>
      <c r="P77" s="33">
        <v>0</v>
      </c>
      <c r="Q77" s="33">
        <v>0</v>
      </c>
      <c r="R77" s="33">
        <v>0</v>
      </c>
      <c r="S77" s="33">
        <f>SUM(I77:R77)</f>
        <v>126723.78995000001</v>
      </c>
      <c r="AG77" s="52"/>
      <c r="AH77" s="52"/>
      <c r="AI77" s="52"/>
      <c r="AJ77" s="52"/>
      <c r="AM77" s="44"/>
    </row>
    <row r="78" spans="1:39" ht="56.25" x14ac:dyDescent="0.25">
      <c r="A78" s="172"/>
      <c r="B78" s="173"/>
      <c r="C78" s="173"/>
      <c r="D78" s="140" t="s">
        <v>11</v>
      </c>
      <c r="E78" s="141">
        <v>915</v>
      </c>
      <c r="F78" s="142" t="s">
        <v>60</v>
      </c>
      <c r="G78" s="142" t="s">
        <v>244</v>
      </c>
      <c r="H78" s="142" t="s">
        <v>263</v>
      </c>
      <c r="I78" s="33">
        <f t="shared" ref="I78:N78" si="36">I112</f>
        <v>41298.099950000003</v>
      </c>
      <c r="J78" s="33">
        <f t="shared" si="36"/>
        <v>0</v>
      </c>
      <c r="K78" s="33">
        <f t="shared" si="36"/>
        <v>0</v>
      </c>
      <c r="L78" s="33">
        <f t="shared" si="36"/>
        <v>0</v>
      </c>
      <c r="M78" s="33">
        <f t="shared" si="36"/>
        <v>0</v>
      </c>
      <c r="N78" s="33">
        <f t="shared" si="36"/>
        <v>0</v>
      </c>
      <c r="O78" s="33">
        <v>0</v>
      </c>
      <c r="P78" s="33">
        <v>0</v>
      </c>
      <c r="Q78" s="33">
        <v>0</v>
      </c>
      <c r="R78" s="33">
        <v>0</v>
      </c>
      <c r="S78" s="33">
        <f>SUM(I78:R78)</f>
        <v>41298.099950000003</v>
      </c>
      <c r="AG78" s="52"/>
      <c r="AH78" s="52"/>
      <c r="AI78" s="52"/>
      <c r="AJ78" s="52"/>
      <c r="AM78" s="44"/>
    </row>
    <row r="79" spans="1:39" ht="72" customHeight="1" x14ac:dyDescent="0.25">
      <c r="A79" s="172"/>
      <c r="B79" s="173"/>
      <c r="C79" s="173"/>
      <c r="D79" s="147" t="s">
        <v>13</v>
      </c>
      <c r="E79" s="142" t="s">
        <v>53</v>
      </c>
      <c r="F79" s="142" t="s">
        <v>74</v>
      </c>
      <c r="G79" s="142" t="s">
        <v>244</v>
      </c>
      <c r="H79" s="142" t="s">
        <v>74</v>
      </c>
      <c r="I79" s="33">
        <f>I81+I82+I85+I86+I89+I92+I95</f>
        <v>85425.69</v>
      </c>
      <c r="J79" s="33">
        <f>SUM(J80:J97)</f>
        <v>0</v>
      </c>
      <c r="K79" s="33">
        <f>SUM(K80:K97)</f>
        <v>0</v>
      </c>
      <c r="L79" s="33">
        <f>SUM(L80:L97)</f>
        <v>0</v>
      </c>
      <c r="M79" s="33">
        <f>SUM(M80:M97)</f>
        <v>0</v>
      </c>
      <c r="N79" s="33">
        <f>SUM(N80:N97)</f>
        <v>0</v>
      </c>
      <c r="O79" s="33">
        <v>0</v>
      </c>
      <c r="P79" s="33">
        <v>0</v>
      </c>
      <c r="Q79" s="33">
        <v>0</v>
      </c>
      <c r="R79" s="33">
        <v>0</v>
      </c>
      <c r="S79" s="33">
        <f>SUM(I79:R79)</f>
        <v>85425.69</v>
      </c>
      <c r="AG79" s="52"/>
      <c r="AH79" s="52"/>
      <c r="AI79" s="52"/>
      <c r="AJ79" s="52"/>
      <c r="AM79" s="44"/>
    </row>
    <row r="80" spans="1:39" ht="38.25" hidden="1" customHeight="1" x14ac:dyDescent="0.25">
      <c r="A80" s="172"/>
      <c r="B80" s="173"/>
      <c r="C80" s="173"/>
      <c r="D80" s="169" t="s">
        <v>23</v>
      </c>
      <c r="E80" s="166">
        <v>919</v>
      </c>
      <c r="F80" s="165" t="s">
        <v>60</v>
      </c>
      <c r="G80" s="142" t="s">
        <v>244</v>
      </c>
      <c r="H80" s="142" t="s">
        <v>223</v>
      </c>
      <c r="I80" s="33">
        <f t="shared" ref="I80:N80" si="37">I124</f>
        <v>0</v>
      </c>
      <c r="J80" s="33">
        <f t="shared" si="37"/>
        <v>0</v>
      </c>
      <c r="K80" s="33">
        <f t="shared" si="37"/>
        <v>0</v>
      </c>
      <c r="L80" s="33">
        <f t="shared" si="37"/>
        <v>0</v>
      </c>
      <c r="M80" s="33">
        <f t="shared" si="37"/>
        <v>0</v>
      </c>
      <c r="N80" s="33">
        <f t="shared" si="37"/>
        <v>0</v>
      </c>
      <c r="O80" s="33"/>
      <c r="P80" s="33"/>
      <c r="Q80" s="33"/>
      <c r="R80" s="33"/>
      <c r="S80" s="33">
        <f t="shared" si="19"/>
        <v>0</v>
      </c>
      <c r="AG80" s="52"/>
      <c r="AH80" s="52"/>
      <c r="AI80" s="52"/>
      <c r="AJ80" s="52"/>
      <c r="AM80" s="44"/>
    </row>
    <row r="81" spans="1:80" ht="58.5" customHeight="1" x14ac:dyDescent="0.25">
      <c r="A81" s="172"/>
      <c r="B81" s="173"/>
      <c r="C81" s="173"/>
      <c r="D81" s="169"/>
      <c r="E81" s="166"/>
      <c r="F81" s="165"/>
      <c r="G81" s="142" t="s">
        <v>244</v>
      </c>
      <c r="H81" s="142" t="s">
        <v>87</v>
      </c>
      <c r="I81" s="33">
        <f t="shared" ref="I81:N81" si="38">I128</f>
        <v>8946.02</v>
      </c>
      <c r="J81" s="33">
        <f t="shared" si="38"/>
        <v>0</v>
      </c>
      <c r="K81" s="33">
        <f t="shared" si="38"/>
        <v>0</v>
      </c>
      <c r="L81" s="33">
        <f t="shared" si="38"/>
        <v>0</v>
      </c>
      <c r="M81" s="33">
        <f t="shared" si="38"/>
        <v>0</v>
      </c>
      <c r="N81" s="33">
        <f t="shared" si="38"/>
        <v>0</v>
      </c>
      <c r="O81" s="33">
        <v>0</v>
      </c>
      <c r="P81" s="33">
        <v>0</v>
      </c>
      <c r="Q81" s="33">
        <v>0</v>
      </c>
      <c r="R81" s="33">
        <v>0</v>
      </c>
      <c r="S81" s="33">
        <f>SUM(I81:R81)</f>
        <v>8946.02</v>
      </c>
      <c r="AG81" s="52"/>
      <c r="AH81" s="52"/>
      <c r="AI81" s="52"/>
      <c r="AJ81" s="52"/>
      <c r="AM81" s="44"/>
    </row>
    <row r="82" spans="1:80" ht="37.5" customHeight="1" x14ac:dyDescent="0.25">
      <c r="A82" s="172"/>
      <c r="B82" s="173"/>
      <c r="C82" s="173"/>
      <c r="D82" s="147" t="s">
        <v>24</v>
      </c>
      <c r="E82" s="141">
        <v>922</v>
      </c>
      <c r="F82" s="142" t="s">
        <v>60</v>
      </c>
      <c r="G82" s="142" t="s">
        <v>244</v>
      </c>
      <c r="H82" s="142" t="s">
        <v>262</v>
      </c>
      <c r="I82" s="33">
        <f t="shared" ref="I82:N82" si="39">I83+I84</f>
        <v>12837.36</v>
      </c>
      <c r="J82" s="33">
        <f t="shared" si="39"/>
        <v>0</v>
      </c>
      <c r="K82" s="33">
        <f t="shared" si="39"/>
        <v>0</v>
      </c>
      <c r="L82" s="33">
        <f t="shared" si="39"/>
        <v>0</v>
      </c>
      <c r="M82" s="33">
        <f t="shared" si="39"/>
        <v>0</v>
      </c>
      <c r="N82" s="33">
        <f t="shared" si="39"/>
        <v>0</v>
      </c>
      <c r="O82" s="33">
        <v>0</v>
      </c>
      <c r="P82" s="33">
        <v>0</v>
      </c>
      <c r="Q82" s="33">
        <v>0</v>
      </c>
      <c r="R82" s="33">
        <v>0</v>
      </c>
      <c r="S82" s="33">
        <f>SUM(I82:R82)</f>
        <v>12837.36</v>
      </c>
      <c r="AG82" s="52"/>
      <c r="AH82" s="52"/>
      <c r="AI82" s="52"/>
      <c r="AJ82" s="52"/>
      <c r="AM82" s="44"/>
    </row>
    <row r="83" spans="1:80" ht="29.25" hidden="1" customHeight="1" x14ac:dyDescent="0.25">
      <c r="A83" s="172"/>
      <c r="B83" s="173"/>
      <c r="C83" s="173"/>
      <c r="D83" s="169" t="s">
        <v>24</v>
      </c>
      <c r="E83" s="166">
        <v>922</v>
      </c>
      <c r="F83" s="165" t="s">
        <v>60</v>
      </c>
      <c r="G83" s="142" t="s">
        <v>244</v>
      </c>
      <c r="H83" s="142" t="s">
        <v>235</v>
      </c>
      <c r="I83" s="33">
        <f t="shared" ref="I83:N83" si="40">I136</f>
        <v>1681.75</v>
      </c>
      <c r="J83" s="33">
        <f t="shared" si="40"/>
        <v>0</v>
      </c>
      <c r="K83" s="33">
        <f t="shared" si="40"/>
        <v>0</v>
      </c>
      <c r="L83" s="33">
        <f t="shared" si="40"/>
        <v>0</v>
      </c>
      <c r="M83" s="33">
        <f t="shared" si="40"/>
        <v>0</v>
      </c>
      <c r="N83" s="33">
        <f t="shared" si="40"/>
        <v>0</v>
      </c>
      <c r="O83" s="33"/>
      <c r="P83" s="33"/>
      <c r="Q83" s="33"/>
      <c r="R83" s="33"/>
      <c r="S83" s="33">
        <f t="shared" si="19"/>
        <v>1681.75</v>
      </c>
      <c r="AG83" s="52"/>
      <c r="AH83" s="52"/>
      <c r="AI83" s="52"/>
      <c r="AJ83" s="52"/>
      <c r="AM83" s="44"/>
    </row>
    <row r="84" spans="1:80" ht="29.25" hidden="1" customHeight="1" x14ac:dyDescent="0.25">
      <c r="A84" s="172"/>
      <c r="B84" s="173"/>
      <c r="C84" s="173"/>
      <c r="D84" s="169"/>
      <c r="E84" s="166"/>
      <c r="F84" s="165"/>
      <c r="G84" s="142" t="s">
        <v>244</v>
      </c>
      <c r="H84" s="142" t="s">
        <v>234</v>
      </c>
      <c r="I84" s="33">
        <f t="shared" ref="I84:N84" si="41">I140</f>
        <v>11155.61</v>
      </c>
      <c r="J84" s="33">
        <f t="shared" si="41"/>
        <v>0</v>
      </c>
      <c r="K84" s="33">
        <f t="shared" si="41"/>
        <v>0</v>
      </c>
      <c r="L84" s="33">
        <f t="shared" si="41"/>
        <v>0</v>
      </c>
      <c r="M84" s="33">
        <f t="shared" si="41"/>
        <v>0</v>
      </c>
      <c r="N84" s="33">
        <f t="shared" si="41"/>
        <v>0</v>
      </c>
      <c r="O84" s="33"/>
      <c r="P84" s="33"/>
      <c r="Q84" s="33"/>
      <c r="R84" s="33"/>
      <c r="S84" s="33">
        <f t="shared" si="19"/>
        <v>11155.61</v>
      </c>
      <c r="AG84" s="52"/>
      <c r="AH84" s="52"/>
      <c r="AI84" s="52"/>
      <c r="AJ84" s="52"/>
      <c r="AM84" s="44"/>
      <c r="CB84" s="35" t="s">
        <v>151</v>
      </c>
    </row>
    <row r="85" spans="1:80" ht="39.75" customHeight="1" x14ac:dyDescent="0.25">
      <c r="A85" s="172"/>
      <c r="B85" s="173"/>
      <c r="C85" s="173"/>
      <c r="D85" s="147" t="s">
        <v>25</v>
      </c>
      <c r="E85" s="141">
        <v>925</v>
      </c>
      <c r="F85" s="142" t="s">
        <v>60</v>
      </c>
      <c r="G85" s="142" t="s">
        <v>244</v>
      </c>
      <c r="H85" s="142" t="s">
        <v>87</v>
      </c>
      <c r="I85" s="33">
        <f t="shared" ref="I85:N85" si="42">I144</f>
        <v>11623.88</v>
      </c>
      <c r="J85" s="33">
        <f t="shared" si="42"/>
        <v>0</v>
      </c>
      <c r="K85" s="33">
        <f t="shared" si="42"/>
        <v>0</v>
      </c>
      <c r="L85" s="33">
        <f t="shared" si="42"/>
        <v>0</v>
      </c>
      <c r="M85" s="33">
        <f t="shared" si="42"/>
        <v>0</v>
      </c>
      <c r="N85" s="33">
        <f t="shared" si="42"/>
        <v>0</v>
      </c>
      <c r="O85" s="33">
        <v>0</v>
      </c>
      <c r="P85" s="33">
        <v>0</v>
      </c>
      <c r="Q85" s="33">
        <v>0</v>
      </c>
      <c r="R85" s="33">
        <v>0</v>
      </c>
      <c r="S85" s="33">
        <f>SUM(I85:R85)</f>
        <v>11623.88</v>
      </c>
      <c r="AG85" s="52"/>
      <c r="AH85" s="52"/>
      <c r="AI85" s="52"/>
      <c r="AJ85" s="52"/>
      <c r="AM85" s="44"/>
    </row>
    <row r="86" spans="1:80" ht="37.5" x14ac:dyDescent="0.25">
      <c r="A86" s="172"/>
      <c r="B86" s="173"/>
      <c r="C86" s="173"/>
      <c r="D86" s="147" t="s">
        <v>26</v>
      </c>
      <c r="E86" s="141">
        <v>928</v>
      </c>
      <c r="F86" s="142" t="s">
        <v>60</v>
      </c>
      <c r="G86" s="142" t="s">
        <v>244</v>
      </c>
      <c r="H86" s="142" t="s">
        <v>262</v>
      </c>
      <c r="I86" s="33">
        <f>I87+I88-0.01</f>
        <v>13292.28</v>
      </c>
      <c r="J86" s="33">
        <f>J87+J88</f>
        <v>0</v>
      </c>
      <c r="K86" s="33">
        <f>K87+K88</f>
        <v>0</v>
      </c>
      <c r="L86" s="33">
        <f>L87+L88</f>
        <v>0</v>
      </c>
      <c r="M86" s="33">
        <f>M87+M88</f>
        <v>0</v>
      </c>
      <c r="N86" s="33">
        <f>N87+N88</f>
        <v>0</v>
      </c>
      <c r="O86" s="33">
        <v>0</v>
      </c>
      <c r="P86" s="33">
        <v>0</v>
      </c>
      <c r="Q86" s="33">
        <v>0</v>
      </c>
      <c r="R86" s="33">
        <v>0</v>
      </c>
      <c r="S86" s="33">
        <f>SUM(I86:R86)</f>
        <v>13292.28</v>
      </c>
      <c r="AG86" s="52"/>
      <c r="AH86" s="52"/>
      <c r="AI86" s="52"/>
      <c r="AJ86" s="52"/>
      <c r="AM86" s="44"/>
    </row>
    <row r="87" spans="1:80" ht="29.25" hidden="1" customHeight="1" x14ac:dyDescent="0.25">
      <c r="A87" s="172"/>
      <c r="B87" s="173"/>
      <c r="C87" s="173"/>
      <c r="D87" s="166" t="s">
        <v>26</v>
      </c>
      <c r="E87" s="141"/>
      <c r="F87" s="142"/>
      <c r="G87" s="142" t="s">
        <v>244</v>
      </c>
      <c r="H87" s="142" t="s">
        <v>235</v>
      </c>
      <c r="I87" s="33">
        <f t="shared" ref="I87:N87" si="43">I152</f>
        <v>1045.68</v>
      </c>
      <c r="J87" s="33">
        <f t="shared" si="43"/>
        <v>0</v>
      </c>
      <c r="K87" s="33">
        <f t="shared" si="43"/>
        <v>0</v>
      </c>
      <c r="L87" s="33">
        <f t="shared" si="43"/>
        <v>0</v>
      </c>
      <c r="M87" s="33">
        <f t="shared" si="43"/>
        <v>0</v>
      </c>
      <c r="N87" s="33">
        <f t="shared" si="43"/>
        <v>0</v>
      </c>
      <c r="O87" s="33"/>
      <c r="P87" s="33"/>
      <c r="Q87" s="33"/>
      <c r="R87" s="33"/>
      <c r="S87" s="33">
        <f t="shared" si="19"/>
        <v>1045.68</v>
      </c>
      <c r="AG87" s="52"/>
      <c r="AH87" s="52"/>
      <c r="AI87" s="52"/>
      <c r="AJ87" s="52"/>
      <c r="AM87" s="44"/>
    </row>
    <row r="88" spans="1:80" ht="29.25" hidden="1" customHeight="1" x14ac:dyDescent="0.25">
      <c r="A88" s="172"/>
      <c r="B88" s="173"/>
      <c r="C88" s="173"/>
      <c r="D88" s="166"/>
      <c r="E88" s="141"/>
      <c r="F88" s="142"/>
      <c r="G88" s="142" t="s">
        <v>244</v>
      </c>
      <c r="H88" s="142" t="s">
        <v>234</v>
      </c>
      <c r="I88" s="33">
        <f t="shared" ref="I88:N88" si="44">I156</f>
        <v>12246.61</v>
      </c>
      <c r="J88" s="33">
        <f t="shared" si="44"/>
        <v>0</v>
      </c>
      <c r="K88" s="33">
        <f t="shared" si="44"/>
        <v>0</v>
      </c>
      <c r="L88" s="33">
        <f t="shared" si="44"/>
        <v>0</v>
      </c>
      <c r="M88" s="33">
        <f t="shared" si="44"/>
        <v>0</v>
      </c>
      <c r="N88" s="33">
        <f t="shared" si="44"/>
        <v>0</v>
      </c>
      <c r="O88" s="33"/>
      <c r="P88" s="33"/>
      <c r="Q88" s="33"/>
      <c r="R88" s="33"/>
      <c r="S88" s="33">
        <f t="shared" si="19"/>
        <v>12246.61</v>
      </c>
      <c r="AG88" s="52"/>
      <c r="AH88" s="52"/>
      <c r="AI88" s="52"/>
      <c r="AJ88" s="52"/>
      <c r="AM88" s="44"/>
    </row>
    <row r="89" spans="1:80" ht="56.25" x14ac:dyDescent="0.25">
      <c r="A89" s="172"/>
      <c r="B89" s="173"/>
      <c r="C89" s="173"/>
      <c r="D89" s="140" t="s">
        <v>27</v>
      </c>
      <c r="E89" s="141">
        <v>931</v>
      </c>
      <c r="F89" s="142" t="s">
        <v>60</v>
      </c>
      <c r="G89" s="142" t="s">
        <v>344</v>
      </c>
      <c r="H89" s="142" t="s">
        <v>262</v>
      </c>
      <c r="I89" s="33">
        <f t="shared" ref="I89:N89" si="45">I90+I91</f>
        <v>30026.18</v>
      </c>
      <c r="J89" s="33">
        <f t="shared" si="45"/>
        <v>0</v>
      </c>
      <c r="K89" s="33">
        <f t="shared" si="45"/>
        <v>0</v>
      </c>
      <c r="L89" s="33">
        <f t="shared" si="45"/>
        <v>0</v>
      </c>
      <c r="M89" s="33">
        <f t="shared" si="45"/>
        <v>0</v>
      </c>
      <c r="N89" s="33">
        <f t="shared" si="45"/>
        <v>0</v>
      </c>
      <c r="O89" s="33">
        <v>0</v>
      </c>
      <c r="P89" s="33">
        <v>0</v>
      </c>
      <c r="Q89" s="33">
        <v>0</v>
      </c>
      <c r="R89" s="33">
        <v>0</v>
      </c>
      <c r="S89" s="33">
        <f>SUM(I89:R89)</f>
        <v>30026.18</v>
      </c>
      <c r="AG89" s="52"/>
      <c r="AH89" s="52"/>
      <c r="AI89" s="52"/>
      <c r="AJ89" s="52"/>
      <c r="AM89" s="44"/>
    </row>
    <row r="90" spans="1:80" ht="37.5" hidden="1" customHeight="1" x14ac:dyDescent="0.25">
      <c r="A90" s="172"/>
      <c r="B90" s="173"/>
      <c r="C90" s="173"/>
      <c r="D90" s="140" t="s">
        <v>27</v>
      </c>
      <c r="E90" s="141">
        <v>931</v>
      </c>
      <c r="F90" s="142" t="s">
        <v>60</v>
      </c>
      <c r="G90" s="142" t="s">
        <v>246</v>
      </c>
      <c r="H90" s="142" t="s">
        <v>235</v>
      </c>
      <c r="I90" s="33">
        <f t="shared" ref="I90:N90" si="46">I164</f>
        <v>0</v>
      </c>
      <c r="J90" s="33">
        <f t="shared" si="46"/>
        <v>0</v>
      </c>
      <c r="K90" s="33">
        <f t="shared" si="46"/>
        <v>0</v>
      </c>
      <c r="L90" s="33">
        <f t="shared" si="46"/>
        <v>0</v>
      </c>
      <c r="M90" s="33">
        <f t="shared" si="46"/>
        <v>0</v>
      </c>
      <c r="N90" s="33">
        <f t="shared" si="46"/>
        <v>0</v>
      </c>
      <c r="O90" s="33"/>
      <c r="P90" s="33"/>
      <c r="Q90" s="33"/>
      <c r="R90" s="33"/>
      <c r="S90" s="33">
        <f t="shared" si="19"/>
        <v>0</v>
      </c>
      <c r="AG90" s="52"/>
      <c r="AH90" s="52"/>
      <c r="AI90" s="52"/>
      <c r="AJ90" s="52"/>
      <c r="AM90" s="44"/>
    </row>
    <row r="91" spans="1:80" ht="58.5" hidden="1" customHeight="1" x14ac:dyDescent="0.25">
      <c r="A91" s="172"/>
      <c r="B91" s="173"/>
      <c r="C91" s="173"/>
      <c r="D91" s="140"/>
      <c r="E91" s="141"/>
      <c r="F91" s="142"/>
      <c r="G91" s="142" t="s">
        <v>244</v>
      </c>
      <c r="H91" s="142" t="s">
        <v>87</v>
      </c>
      <c r="I91" s="33">
        <f t="shared" ref="I91:N91" si="47">I168</f>
        <v>30026.18</v>
      </c>
      <c r="J91" s="33">
        <f t="shared" si="47"/>
        <v>0</v>
      </c>
      <c r="K91" s="33">
        <f t="shared" si="47"/>
        <v>0</v>
      </c>
      <c r="L91" s="33">
        <f t="shared" si="47"/>
        <v>0</v>
      </c>
      <c r="M91" s="33">
        <f t="shared" si="47"/>
        <v>0</v>
      </c>
      <c r="N91" s="33">
        <f t="shared" si="47"/>
        <v>0</v>
      </c>
      <c r="O91" s="33"/>
      <c r="P91" s="33"/>
      <c r="Q91" s="33"/>
      <c r="R91" s="33"/>
      <c r="S91" s="33">
        <f t="shared" si="19"/>
        <v>30026.18</v>
      </c>
      <c r="AG91" s="52"/>
      <c r="AH91" s="52"/>
      <c r="AI91" s="52"/>
      <c r="AJ91" s="52"/>
      <c r="AM91" s="44"/>
    </row>
    <row r="92" spans="1:80" ht="37.5" x14ac:dyDescent="0.25">
      <c r="A92" s="172"/>
      <c r="B92" s="173"/>
      <c r="C92" s="173"/>
      <c r="D92" s="147" t="s">
        <v>28</v>
      </c>
      <c r="E92" s="141">
        <v>934</v>
      </c>
      <c r="F92" s="142" t="s">
        <v>60</v>
      </c>
      <c r="G92" s="142" t="s">
        <v>244</v>
      </c>
      <c r="H92" s="142" t="s">
        <v>262</v>
      </c>
      <c r="I92" s="33">
        <f>I93+I94+0.01</f>
        <v>8454.84</v>
      </c>
      <c r="J92" s="33">
        <f>J93+J94</f>
        <v>0</v>
      </c>
      <c r="K92" s="33">
        <f>K93+K94</f>
        <v>0</v>
      </c>
      <c r="L92" s="33">
        <f>L93+L94</f>
        <v>0</v>
      </c>
      <c r="M92" s="33">
        <f>M93+M94</f>
        <v>0</v>
      </c>
      <c r="N92" s="33">
        <f>N93+N94</f>
        <v>0</v>
      </c>
      <c r="O92" s="33">
        <v>0</v>
      </c>
      <c r="P92" s="33">
        <v>0</v>
      </c>
      <c r="Q92" s="33">
        <v>0</v>
      </c>
      <c r="R92" s="33">
        <v>0</v>
      </c>
      <c r="S92" s="33">
        <f>SUM(I92:R92)</f>
        <v>8454.84</v>
      </c>
      <c r="AG92" s="52"/>
      <c r="AH92" s="52"/>
      <c r="AI92" s="52"/>
      <c r="AJ92" s="52"/>
      <c r="AM92" s="44"/>
    </row>
    <row r="93" spans="1:80" ht="33.75" hidden="1" customHeight="1" x14ac:dyDescent="0.25">
      <c r="A93" s="172"/>
      <c r="B93" s="173"/>
      <c r="C93" s="173"/>
      <c r="D93" s="147" t="s">
        <v>28</v>
      </c>
      <c r="E93" s="141"/>
      <c r="F93" s="142"/>
      <c r="G93" s="142" t="s">
        <v>244</v>
      </c>
      <c r="H93" s="142" t="s">
        <v>235</v>
      </c>
      <c r="I93" s="33">
        <f t="shared" ref="I93:N93" si="48">I176</f>
        <v>6405.92</v>
      </c>
      <c r="J93" s="33">
        <f t="shared" si="48"/>
        <v>0</v>
      </c>
      <c r="K93" s="33">
        <f t="shared" si="48"/>
        <v>0</v>
      </c>
      <c r="L93" s="33">
        <f t="shared" si="48"/>
        <v>0</v>
      </c>
      <c r="M93" s="33">
        <f t="shared" si="48"/>
        <v>0</v>
      </c>
      <c r="N93" s="33">
        <f t="shared" si="48"/>
        <v>0</v>
      </c>
      <c r="O93" s="33"/>
      <c r="P93" s="33"/>
      <c r="Q93" s="33"/>
      <c r="R93" s="33"/>
      <c r="S93" s="33">
        <f t="shared" si="19"/>
        <v>6405.92</v>
      </c>
      <c r="AG93" s="52"/>
      <c r="AH93" s="52"/>
      <c r="AI93" s="52"/>
      <c r="AJ93" s="52"/>
      <c r="AM93" s="44"/>
    </row>
    <row r="94" spans="1:80" ht="33.75" hidden="1" customHeight="1" x14ac:dyDescent="0.25">
      <c r="A94" s="172"/>
      <c r="B94" s="173"/>
      <c r="C94" s="173"/>
      <c r="D94" s="147" t="s">
        <v>28</v>
      </c>
      <c r="E94" s="141"/>
      <c r="F94" s="142"/>
      <c r="G94" s="142" t="s">
        <v>244</v>
      </c>
      <c r="H94" s="142" t="s">
        <v>234</v>
      </c>
      <c r="I94" s="33">
        <f t="shared" ref="I94:N94" si="49">I180</f>
        <v>2048.91</v>
      </c>
      <c r="J94" s="33">
        <f t="shared" si="49"/>
        <v>0</v>
      </c>
      <c r="K94" s="33">
        <f t="shared" si="49"/>
        <v>0</v>
      </c>
      <c r="L94" s="33">
        <f t="shared" si="49"/>
        <v>0</v>
      </c>
      <c r="M94" s="33">
        <f t="shared" si="49"/>
        <v>0</v>
      </c>
      <c r="N94" s="33">
        <f t="shared" si="49"/>
        <v>0</v>
      </c>
      <c r="O94" s="33"/>
      <c r="P94" s="33"/>
      <c r="Q94" s="33"/>
      <c r="R94" s="33"/>
      <c r="S94" s="33">
        <f t="shared" si="19"/>
        <v>2048.91</v>
      </c>
      <c r="AG94" s="52"/>
      <c r="AH94" s="52"/>
      <c r="AI94" s="52"/>
      <c r="AJ94" s="52"/>
      <c r="AM94" s="44"/>
    </row>
    <row r="95" spans="1:80" ht="37.5" x14ac:dyDescent="0.25">
      <c r="A95" s="172"/>
      <c r="B95" s="173"/>
      <c r="C95" s="173"/>
      <c r="D95" s="147" t="s">
        <v>29</v>
      </c>
      <c r="E95" s="141">
        <v>937</v>
      </c>
      <c r="F95" s="142" t="s">
        <v>60</v>
      </c>
      <c r="G95" s="142" t="s">
        <v>244</v>
      </c>
      <c r="H95" s="142" t="s">
        <v>311</v>
      </c>
      <c r="I95" s="33">
        <f t="shared" ref="I95:N95" si="50">I96+I97</f>
        <v>245.13</v>
      </c>
      <c r="J95" s="33">
        <f t="shared" si="50"/>
        <v>0</v>
      </c>
      <c r="K95" s="33">
        <f t="shared" si="50"/>
        <v>0</v>
      </c>
      <c r="L95" s="33">
        <f t="shared" si="50"/>
        <v>0</v>
      </c>
      <c r="M95" s="33">
        <f t="shared" si="50"/>
        <v>0</v>
      </c>
      <c r="N95" s="33">
        <f t="shared" si="50"/>
        <v>0</v>
      </c>
      <c r="O95" s="33">
        <v>0</v>
      </c>
      <c r="P95" s="33">
        <v>0</v>
      </c>
      <c r="Q95" s="33">
        <v>0</v>
      </c>
      <c r="R95" s="33">
        <v>0</v>
      </c>
      <c r="S95" s="33">
        <f>SUM(I95:R95)</f>
        <v>245.13</v>
      </c>
      <c r="AG95" s="52"/>
      <c r="AH95" s="52"/>
      <c r="AI95" s="52"/>
      <c r="AJ95" s="52"/>
      <c r="AM95" s="44"/>
    </row>
    <row r="96" spans="1:80" ht="33.75" hidden="1" customHeight="1" x14ac:dyDescent="0.25">
      <c r="A96" s="172"/>
      <c r="B96" s="173"/>
      <c r="C96" s="173"/>
      <c r="D96" s="147" t="s">
        <v>29</v>
      </c>
      <c r="E96" s="166">
        <v>937</v>
      </c>
      <c r="F96" s="165" t="s">
        <v>60</v>
      </c>
      <c r="G96" s="142" t="s">
        <v>244</v>
      </c>
      <c r="H96" s="142" t="s">
        <v>235</v>
      </c>
      <c r="I96" s="33">
        <f t="shared" ref="I96:N96" si="51">I188</f>
        <v>0</v>
      </c>
      <c r="J96" s="33">
        <f t="shared" si="51"/>
        <v>0</v>
      </c>
      <c r="K96" s="33">
        <f t="shared" si="51"/>
        <v>0</v>
      </c>
      <c r="L96" s="33">
        <f t="shared" si="51"/>
        <v>0</v>
      </c>
      <c r="M96" s="33">
        <f t="shared" si="51"/>
        <v>0</v>
      </c>
      <c r="N96" s="33">
        <f t="shared" si="51"/>
        <v>0</v>
      </c>
      <c r="O96" s="33"/>
      <c r="P96" s="33"/>
      <c r="Q96" s="33"/>
      <c r="R96" s="33"/>
      <c r="S96" s="33">
        <f t="shared" si="19"/>
        <v>0</v>
      </c>
      <c r="AG96" s="52"/>
      <c r="AH96" s="52"/>
      <c r="AI96" s="52"/>
      <c r="AJ96" s="52"/>
      <c r="AM96" s="44"/>
    </row>
    <row r="97" spans="1:80" ht="55.5" hidden="1" customHeight="1" x14ac:dyDescent="0.25">
      <c r="A97" s="172"/>
      <c r="B97" s="173"/>
      <c r="C97" s="173"/>
      <c r="D97" s="147"/>
      <c r="E97" s="166"/>
      <c r="F97" s="165"/>
      <c r="G97" s="142" t="s">
        <v>244</v>
      </c>
      <c r="H97" s="142" t="s">
        <v>234</v>
      </c>
      <c r="I97" s="33">
        <f t="shared" ref="I97:N97" si="52">I192</f>
        <v>245.13</v>
      </c>
      <c r="J97" s="33">
        <f t="shared" si="52"/>
        <v>0</v>
      </c>
      <c r="K97" s="33">
        <f t="shared" si="52"/>
        <v>0</v>
      </c>
      <c r="L97" s="33">
        <f t="shared" si="52"/>
        <v>0</v>
      </c>
      <c r="M97" s="33">
        <f t="shared" si="52"/>
        <v>0</v>
      </c>
      <c r="N97" s="33">
        <f t="shared" si="52"/>
        <v>0</v>
      </c>
      <c r="O97" s="33"/>
      <c r="P97" s="33"/>
      <c r="Q97" s="33"/>
      <c r="R97" s="33"/>
      <c r="S97" s="33">
        <f t="shared" si="19"/>
        <v>245.13</v>
      </c>
      <c r="AG97" s="52"/>
      <c r="AH97" s="52"/>
      <c r="AI97" s="52"/>
      <c r="AJ97" s="52"/>
      <c r="AM97" s="44"/>
    </row>
    <row r="98" spans="1:80" ht="32.25" customHeight="1" x14ac:dyDescent="0.25">
      <c r="A98" s="172"/>
      <c r="B98" s="173"/>
      <c r="C98" s="171" t="s">
        <v>37</v>
      </c>
      <c r="D98" s="147" t="s">
        <v>10</v>
      </c>
      <c r="E98" s="142" t="s">
        <v>74</v>
      </c>
      <c r="F98" s="142" t="s">
        <v>74</v>
      </c>
      <c r="G98" s="142" t="s">
        <v>244</v>
      </c>
      <c r="H98" s="142" t="s">
        <v>74</v>
      </c>
      <c r="I98" s="33">
        <f t="shared" ref="I98:N98" si="53">I113+I117</f>
        <v>14175.31999</v>
      </c>
      <c r="J98" s="33">
        <f t="shared" si="53"/>
        <v>0</v>
      </c>
      <c r="K98" s="33">
        <f t="shared" si="53"/>
        <v>0</v>
      </c>
      <c r="L98" s="33">
        <f t="shared" si="53"/>
        <v>0</v>
      </c>
      <c r="M98" s="33">
        <f t="shared" si="53"/>
        <v>0</v>
      </c>
      <c r="N98" s="33">
        <f t="shared" si="53"/>
        <v>0</v>
      </c>
      <c r="O98" s="33">
        <v>0</v>
      </c>
      <c r="P98" s="33">
        <v>0</v>
      </c>
      <c r="Q98" s="33">
        <v>0</v>
      </c>
      <c r="R98" s="33">
        <v>0</v>
      </c>
      <c r="S98" s="33">
        <f>SUM(I98:R98)</f>
        <v>14175.31999</v>
      </c>
      <c r="AG98" s="52"/>
      <c r="AH98" s="52"/>
      <c r="AI98" s="52"/>
      <c r="AJ98" s="52"/>
      <c r="AM98" s="44"/>
    </row>
    <row r="99" spans="1:80" ht="56.25" x14ac:dyDescent="0.25">
      <c r="A99" s="172"/>
      <c r="B99" s="173"/>
      <c r="C99" s="171"/>
      <c r="D99" s="140" t="s">
        <v>11</v>
      </c>
      <c r="E99" s="141">
        <v>915</v>
      </c>
      <c r="F99" s="142" t="s">
        <v>74</v>
      </c>
      <c r="G99" s="142" t="s">
        <v>244</v>
      </c>
      <c r="H99" s="142" t="s">
        <v>263</v>
      </c>
      <c r="I99" s="33">
        <f t="shared" ref="I99:N99" si="54">I113</f>
        <v>11933.47999</v>
      </c>
      <c r="J99" s="33">
        <f t="shared" si="54"/>
        <v>0</v>
      </c>
      <c r="K99" s="33">
        <f t="shared" si="54"/>
        <v>0</v>
      </c>
      <c r="L99" s="33">
        <f t="shared" si="54"/>
        <v>0</v>
      </c>
      <c r="M99" s="33">
        <f t="shared" si="54"/>
        <v>0</v>
      </c>
      <c r="N99" s="33">
        <f t="shared" si="54"/>
        <v>0</v>
      </c>
      <c r="O99" s="33">
        <v>0</v>
      </c>
      <c r="P99" s="33">
        <v>0</v>
      </c>
      <c r="Q99" s="33">
        <v>0</v>
      </c>
      <c r="R99" s="33">
        <v>0</v>
      </c>
      <c r="S99" s="33">
        <f>SUM(I99:R99)</f>
        <v>11933.47999</v>
      </c>
      <c r="AG99" s="52"/>
      <c r="AH99" s="52"/>
      <c r="AI99" s="52"/>
      <c r="AJ99" s="52"/>
      <c r="AM99" s="44"/>
    </row>
    <row r="100" spans="1:80" ht="78.75" hidden="1" customHeight="1" x14ac:dyDescent="0.25">
      <c r="A100" s="172"/>
      <c r="B100" s="173"/>
      <c r="C100" s="171"/>
      <c r="D100" s="140" t="s">
        <v>321</v>
      </c>
      <c r="E100" s="141">
        <v>915</v>
      </c>
      <c r="F100" s="142" t="s">
        <v>60</v>
      </c>
      <c r="G100" s="142" t="s">
        <v>244</v>
      </c>
      <c r="H100" s="142" t="s">
        <v>170</v>
      </c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>
        <f t="shared" si="19"/>
        <v>0</v>
      </c>
      <c r="AG100" s="52"/>
      <c r="AH100" s="52"/>
      <c r="AI100" s="52"/>
      <c r="AJ100" s="52"/>
      <c r="AM100" s="44"/>
    </row>
    <row r="101" spans="1:80" ht="78.75" hidden="1" customHeight="1" x14ac:dyDescent="0.25">
      <c r="A101" s="172"/>
      <c r="B101" s="173"/>
      <c r="C101" s="171"/>
      <c r="D101" s="140" t="s">
        <v>321</v>
      </c>
      <c r="E101" s="141">
        <v>915</v>
      </c>
      <c r="F101" s="142" t="s">
        <v>60</v>
      </c>
      <c r="G101" s="142" t="s">
        <v>244</v>
      </c>
      <c r="H101" s="142" t="s">
        <v>170</v>
      </c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>
        <f t="shared" si="19"/>
        <v>0</v>
      </c>
      <c r="AG101" s="52"/>
      <c r="AH101" s="52"/>
      <c r="AI101" s="52"/>
      <c r="AJ101" s="52"/>
      <c r="AM101" s="44"/>
    </row>
    <row r="102" spans="1:80" ht="77.25" customHeight="1" x14ac:dyDescent="0.25">
      <c r="A102" s="172"/>
      <c r="B102" s="173"/>
      <c r="C102" s="171"/>
      <c r="D102" s="147" t="s">
        <v>13</v>
      </c>
      <c r="E102" s="142" t="s">
        <v>53</v>
      </c>
      <c r="F102" s="142" t="s">
        <v>74</v>
      </c>
      <c r="G102" s="142" t="s">
        <v>244</v>
      </c>
      <c r="H102" s="142" t="s">
        <v>74</v>
      </c>
      <c r="I102" s="33">
        <f>I103+I104+I105+I106+I107+I108+I109</f>
        <v>2241.84</v>
      </c>
      <c r="J102" s="33">
        <f>SUM(J103:J109)</f>
        <v>0</v>
      </c>
      <c r="K102" s="33">
        <f>SUM(K103:K109)</f>
        <v>0</v>
      </c>
      <c r="L102" s="33">
        <f>SUM(L103:L109)</f>
        <v>0</v>
      </c>
      <c r="M102" s="33">
        <f>SUM(M103:M109)</f>
        <v>0</v>
      </c>
      <c r="N102" s="33">
        <f>SUM(N103:N109)</f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f t="shared" ref="S102:S109" si="55">SUM(I102:R102)</f>
        <v>2241.84</v>
      </c>
      <c r="AG102" s="52"/>
      <c r="AH102" s="52"/>
      <c r="AI102" s="52"/>
      <c r="AJ102" s="52"/>
      <c r="AM102" s="44"/>
    </row>
    <row r="103" spans="1:80" ht="56.25" customHeight="1" x14ac:dyDescent="0.25">
      <c r="A103" s="172"/>
      <c r="B103" s="173"/>
      <c r="C103" s="171"/>
      <c r="D103" s="140" t="s">
        <v>14</v>
      </c>
      <c r="E103" s="141">
        <v>919</v>
      </c>
      <c r="F103" s="142" t="s">
        <v>60</v>
      </c>
      <c r="G103" s="142" t="s">
        <v>244</v>
      </c>
      <c r="H103" s="142" t="s">
        <v>87</v>
      </c>
      <c r="I103" s="33">
        <f t="shared" ref="I103:N103" si="56">I129</f>
        <v>176.87</v>
      </c>
      <c r="J103" s="33">
        <f t="shared" si="56"/>
        <v>0</v>
      </c>
      <c r="K103" s="33">
        <f t="shared" si="56"/>
        <v>0</v>
      </c>
      <c r="L103" s="33">
        <f t="shared" si="56"/>
        <v>0</v>
      </c>
      <c r="M103" s="33">
        <f t="shared" si="56"/>
        <v>0</v>
      </c>
      <c r="N103" s="33">
        <f t="shared" si="56"/>
        <v>0</v>
      </c>
      <c r="O103" s="33">
        <v>0</v>
      </c>
      <c r="P103" s="33">
        <v>0</v>
      </c>
      <c r="Q103" s="33">
        <v>0</v>
      </c>
      <c r="R103" s="33">
        <v>0</v>
      </c>
      <c r="S103" s="33">
        <f t="shared" si="55"/>
        <v>176.87</v>
      </c>
      <c r="AG103" s="52"/>
      <c r="AH103" s="52"/>
      <c r="AI103" s="52"/>
      <c r="AJ103" s="52"/>
      <c r="AM103" s="44"/>
      <c r="AU103" s="35">
        <v>120281.45</v>
      </c>
    </row>
    <row r="104" spans="1:80" ht="54.75" customHeight="1" x14ac:dyDescent="0.25">
      <c r="A104" s="172"/>
      <c r="B104" s="173"/>
      <c r="C104" s="171"/>
      <c r="D104" s="140" t="s">
        <v>15</v>
      </c>
      <c r="E104" s="141">
        <v>922</v>
      </c>
      <c r="F104" s="142" t="s">
        <v>60</v>
      </c>
      <c r="G104" s="142" t="s">
        <v>244</v>
      </c>
      <c r="H104" s="142" t="s">
        <v>262</v>
      </c>
      <c r="I104" s="33">
        <f t="shared" ref="I104:N104" si="57">I133</f>
        <v>258.43</v>
      </c>
      <c r="J104" s="33">
        <f t="shared" si="57"/>
        <v>0</v>
      </c>
      <c r="K104" s="33">
        <f t="shared" si="57"/>
        <v>0</v>
      </c>
      <c r="L104" s="33">
        <f t="shared" si="57"/>
        <v>0</v>
      </c>
      <c r="M104" s="33">
        <f t="shared" si="57"/>
        <v>0</v>
      </c>
      <c r="N104" s="33">
        <f t="shared" si="57"/>
        <v>0</v>
      </c>
      <c r="O104" s="33">
        <v>0</v>
      </c>
      <c r="P104" s="33">
        <v>0</v>
      </c>
      <c r="Q104" s="33">
        <v>0</v>
      </c>
      <c r="R104" s="33">
        <v>0</v>
      </c>
      <c r="S104" s="33">
        <f t="shared" si="55"/>
        <v>258.43</v>
      </c>
      <c r="AG104" s="52"/>
      <c r="AH104" s="52"/>
      <c r="AI104" s="52"/>
      <c r="AJ104" s="52"/>
      <c r="AM104" s="44"/>
      <c r="AU104" s="35">
        <v>175746.77</v>
      </c>
    </row>
    <row r="105" spans="1:80" ht="55.5" customHeight="1" x14ac:dyDescent="0.25">
      <c r="A105" s="172"/>
      <c r="B105" s="173"/>
      <c r="C105" s="171"/>
      <c r="D105" s="140" t="s">
        <v>16</v>
      </c>
      <c r="E105" s="141">
        <v>925</v>
      </c>
      <c r="F105" s="142" t="s">
        <v>60</v>
      </c>
      <c r="G105" s="142" t="s">
        <v>244</v>
      </c>
      <c r="H105" s="142" t="s">
        <v>87</v>
      </c>
      <c r="I105" s="33">
        <f t="shared" ref="I105:N105" si="58">I145</f>
        <v>297.32</v>
      </c>
      <c r="J105" s="33">
        <f t="shared" si="58"/>
        <v>0</v>
      </c>
      <c r="K105" s="33">
        <f t="shared" si="58"/>
        <v>0</v>
      </c>
      <c r="L105" s="33">
        <f t="shared" si="58"/>
        <v>0</v>
      </c>
      <c r="M105" s="33">
        <f t="shared" si="58"/>
        <v>0</v>
      </c>
      <c r="N105" s="33">
        <f t="shared" si="58"/>
        <v>0</v>
      </c>
      <c r="O105" s="33">
        <v>0</v>
      </c>
      <c r="P105" s="33">
        <v>0</v>
      </c>
      <c r="Q105" s="33">
        <v>0</v>
      </c>
      <c r="R105" s="33">
        <v>0</v>
      </c>
      <c r="S105" s="33">
        <f t="shared" si="55"/>
        <v>297.32</v>
      </c>
      <c r="AG105" s="52"/>
      <c r="AH105" s="52"/>
      <c r="AI105" s="52"/>
      <c r="AJ105" s="52"/>
      <c r="AM105" s="44"/>
      <c r="AU105" s="35">
        <v>202194.15</v>
      </c>
    </row>
    <row r="106" spans="1:80" ht="54.75" customHeight="1" x14ac:dyDescent="0.25">
      <c r="A106" s="172"/>
      <c r="B106" s="173"/>
      <c r="C106" s="171"/>
      <c r="D106" s="140" t="s">
        <v>17</v>
      </c>
      <c r="E106" s="141">
        <v>928</v>
      </c>
      <c r="F106" s="142" t="s">
        <v>60</v>
      </c>
      <c r="G106" s="142" t="s">
        <v>244</v>
      </c>
      <c r="H106" s="142" t="s">
        <v>262</v>
      </c>
      <c r="I106" s="33">
        <f t="shared" ref="I106:N106" si="59">I149</f>
        <v>134.87</v>
      </c>
      <c r="J106" s="33">
        <f t="shared" si="59"/>
        <v>0</v>
      </c>
      <c r="K106" s="33">
        <f t="shared" si="59"/>
        <v>0</v>
      </c>
      <c r="L106" s="33">
        <f t="shared" si="59"/>
        <v>0</v>
      </c>
      <c r="M106" s="33">
        <f t="shared" si="59"/>
        <v>0</v>
      </c>
      <c r="N106" s="33">
        <f t="shared" si="59"/>
        <v>0</v>
      </c>
      <c r="O106" s="33">
        <v>0</v>
      </c>
      <c r="P106" s="33">
        <v>0</v>
      </c>
      <c r="Q106" s="33">
        <v>0</v>
      </c>
      <c r="R106" s="33">
        <v>0</v>
      </c>
      <c r="S106" s="33">
        <f t="shared" si="55"/>
        <v>134.87</v>
      </c>
      <c r="AG106" s="52"/>
      <c r="AH106" s="52"/>
      <c r="AI106" s="52"/>
      <c r="AJ106" s="52"/>
      <c r="AM106" s="44"/>
      <c r="AU106" s="35">
        <v>91719.11</v>
      </c>
    </row>
    <row r="107" spans="1:80" ht="54.75" customHeight="1" x14ac:dyDescent="0.25">
      <c r="A107" s="172"/>
      <c r="B107" s="173"/>
      <c r="C107" s="171"/>
      <c r="D107" s="140" t="s">
        <v>18</v>
      </c>
      <c r="E107" s="141">
        <v>931</v>
      </c>
      <c r="F107" s="142" t="s">
        <v>60</v>
      </c>
      <c r="G107" s="142" t="s">
        <v>244</v>
      </c>
      <c r="H107" s="142" t="s">
        <v>262</v>
      </c>
      <c r="I107" s="33">
        <f t="shared" ref="I107:N107" si="60">I161</f>
        <v>1103.93</v>
      </c>
      <c r="J107" s="33">
        <f t="shared" si="60"/>
        <v>0</v>
      </c>
      <c r="K107" s="33">
        <f t="shared" si="60"/>
        <v>0</v>
      </c>
      <c r="L107" s="33">
        <f t="shared" si="60"/>
        <v>0</v>
      </c>
      <c r="M107" s="33">
        <f t="shared" si="60"/>
        <v>0</v>
      </c>
      <c r="N107" s="33">
        <f t="shared" si="60"/>
        <v>0</v>
      </c>
      <c r="O107" s="33">
        <v>0</v>
      </c>
      <c r="P107" s="33">
        <v>0</v>
      </c>
      <c r="Q107" s="33">
        <v>0</v>
      </c>
      <c r="R107" s="33">
        <v>0</v>
      </c>
      <c r="S107" s="33">
        <f t="shared" si="55"/>
        <v>1103.93</v>
      </c>
      <c r="AG107" s="52"/>
      <c r="AH107" s="52"/>
      <c r="AI107" s="52"/>
      <c r="AJ107" s="52"/>
      <c r="AM107" s="44"/>
      <c r="AU107" s="35">
        <v>750733.86</v>
      </c>
    </row>
    <row r="108" spans="1:80" ht="57" customHeight="1" x14ac:dyDescent="0.25">
      <c r="A108" s="172"/>
      <c r="B108" s="173"/>
      <c r="C108" s="171"/>
      <c r="D108" s="140" t="s">
        <v>19</v>
      </c>
      <c r="E108" s="141">
        <v>934</v>
      </c>
      <c r="F108" s="142" t="s">
        <v>60</v>
      </c>
      <c r="G108" s="142" t="s">
        <v>244</v>
      </c>
      <c r="H108" s="142" t="s">
        <v>262</v>
      </c>
      <c r="I108" s="33">
        <f t="shared" ref="I108:N108" si="61">I173</f>
        <v>268.86</v>
      </c>
      <c r="J108" s="33">
        <f t="shared" si="61"/>
        <v>0</v>
      </c>
      <c r="K108" s="33">
        <f t="shared" si="61"/>
        <v>0</v>
      </c>
      <c r="L108" s="33">
        <f t="shared" si="61"/>
        <v>0</v>
      </c>
      <c r="M108" s="33">
        <f t="shared" si="61"/>
        <v>0</v>
      </c>
      <c r="N108" s="33">
        <f t="shared" si="61"/>
        <v>0</v>
      </c>
      <c r="O108" s="33">
        <v>0</v>
      </c>
      <c r="P108" s="33">
        <v>0</v>
      </c>
      <c r="Q108" s="33">
        <v>0</v>
      </c>
      <c r="R108" s="33">
        <v>0</v>
      </c>
      <c r="S108" s="33">
        <f t="shared" si="55"/>
        <v>268.86</v>
      </c>
      <c r="AG108" s="52"/>
      <c r="AH108" s="52"/>
      <c r="AI108" s="52"/>
      <c r="AJ108" s="52"/>
      <c r="AM108" s="44"/>
      <c r="AU108" s="35">
        <v>182839.77</v>
      </c>
    </row>
    <row r="109" spans="1:80" ht="57" customHeight="1" x14ac:dyDescent="0.25">
      <c r="A109" s="172"/>
      <c r="B109" s="173"/>
      <c r="C109" s="171"/>
      <c r="D109" s="140" t="s">
        <v>20</v>
      </c>
      <c r="E109" s="141">
        <v>937</v>
      </c>
      <c r="F109" s="142" t="s">
        <v>60</v>
      </c>
      <c r="G109" s="142" t="s">
        <v>244</v>
      </c>
      <c r="H109" s="142" t="s">
        <v>87</v>
      </c>
      <c r="I109" s="33">
        <f>I193</f>
        <v>1.56</v>
      </c>
      <c r="J109" s="33">
        <f>J185</f>
        <v>0</v>
      </c>
      <c r="K109" s="33">
        <f>K193</f>
        <v>0</v>
      </c>
      <c r="L109" s="33">
        <f>L193</f>
        <v>0</v>
      </c>
      <c r="M109" s="33">
        <f>M193</f>
        <v>0</v>
      </c>
      <c r="N109" s="33">
        <f>N193</f>
        <v>0</v>
      </c>
      <c r="O109" s="33">
        <v>0</v>
      </c>
      <c r="P109" s="33">
        <v>0</v>
      </c>
      <c r="Q109" s="33">
        <v>0</v>
      </c>
      <c r="R109" s="33">
        <v>0</v>
      </c>
      <c r="S109" s="33">
        <f t="shared" si="55"/>
        <v>1.56</v>
      </c>
      <c r="AG109" s="52"/>
      <c r="AH109" s="52"/>
      <c r="AI109" s="52"/>
      <c r="AJ109" s="52"/>
      <c r="AM109" s="44"/>
      <c r="AU109" s="35">
        <v>1060.8900000000001</v>
      </c>
    </row>
    <row r="110" spans="1:80" ht="56.25" x14ac:dyDescent="0.25">
      <c r="A110" s="172"/>
      <c r="B110" s="173"/>
      <c r="C110" s="53" t="s">
        <v>224</v>
      </c>
      <c r="D110" s="168" t="s">
        <v>11</v>
      </c>
      <c r="E110" s="166">
        <v>915</v>
      </c>
      <c r="F110" s="165" t="s">
        <v>60</v>
      </c>
      <c r="G110" s="142" t="s">
        <v>244</v>
      </c>
      <c r="H110" s="166">
        <v>240</v>
      </c>
      <c r="I110" s="33">
        <f t="shared" ref="I110:N110" si="62">I111+I112+I113</f>
        <v>120312.87987</v>
      </c>
      <c r="J110" s="33">
        <f t="shared" si="62"/>
        <v>0</v>
      </c>
      <c r="K110" s="33">
        <f t="shared" si="62"/>
        <v>0</v>
      </c>
      <c r="L110" s="33">
        <f t="shared" si="62"/>
        <v>0</v>
      </c>
      <c r="M110" s="33">
        <f t="shared" si="62"/>
        <v>0</v>
      </c>
      <c r="N110" s="33">
        <f t="shared" si="62"/>
        <v>0</v>
      </c>
      <c r="O110" s="33">
        <v>0</v>
      </c>
      <c r="P110" s="33">
        <v>0</v>
      </c>
      <c r="Q110" s="33">
        <v>0</v>
      </c>
      <c r="R110" s="33">
        <v>0</v>
      </c>
      <c r="S110" s="33">
        <f t="shared" ref="S110:S169" si="63">SUM(I110:Q110)</f>
        <v>120312.87987</v>
      </c>
      <c r="AG110" s="52"/>
      <c r="AH110" s="52"/>
      <c r="AI110" s="52"/>
      <c r="AJ110" s="52"/>
      <c r="AM110" s="44"/>
      <c r="CB110" s="44">
        <f>I111+I115</f>
        <v>205839.90992999997</v>
      </c>
    </row>
    <row r="111" spans="1:80" ht="56.25" x14ac:dyDescent="0.25">
      <c r="A111" s="172"/>
      <c r="B111" s="173"/>
      <c r="C111" s="151" t="s">
        <v>178</v>
      </c>
      <c r="D111" s="168"/>
      <c r="E111" s="166"/>
      <c r="F111" s="165"/>
      <c r="G111" s="142" t="s">
        <v>244</v>
      </c>
      <c r="H111" s="166"/>
      <c r="I111" s="33">
        <v>67081.299929999994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0</v>
      </c>
      <c r="S111" s="33">
        <f t="shared" ref="S111:S117" si="64">SUM(I111:R111)</f>
        <v>67081.299929999994</v>
      </c>
      <c r="AG111" s="52"/>
      <c r="AH111" s="52"/>
      <c r="AI111" s="52"/>
      <c r="AJ111" s="52"/>
      <c r="AM111" s="44"/>
      <c r="AV111" s="44" t="e">
        <f>AV114+#REF!+#REF!</f>
        <v>#REF!</v>
      </c>
      <c r="CA111" s="44">
        <f>I113+I117</f>
        <v>14175.31999</v>
      </c>
      <c r="CB111" s="44">
        <f>I112+I116</f>
        <v>126723.78995000001</v>
      </c>
    </row>
    <row r="112" spans="1:80" ht="37.5" x14ac:dyDescent="0.25">
      <c r="A112" s="172"/>
      <c r="B112" s="173"/>
      <c r="C112" s="151" t="s">
        <v>179</v>
      </c>
      <c r="D112" s="168"/>
      <c r="E112" s="166"/>
      <c r="F112" s="165"/>
      <c r="G112" s="142" t="s">
        <v>244</v>
      </c>
      <c r="H112" s="166"/>
      <c r="I112" s="33">
        <v>41298.099950000003</v>
      </c>
      <c r="J112" s="33">
        <v>0</v>
      </c>
      <c r="K112" s="33">
        <v>0</v>
      </c>
      <c r="L112" s="33">
        <v>0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0</v>
      </c>
      <c r="S112" s="33">
        <f t="shared" si="64"/>
        <v>41298.099950000003</v>
      </c>
      <c r="AG112" s="52"/>
      <c r="AH112" s="52"/>
      <c r="AI112" s="52"/>
      <c r="AJ112" s="52"/>
      <c r="AM112" s="44"/>
      <c r="CB112" s="44">
        <f>SUM(CB110:CB111)</f>
        <v>332563.69987999997</v>
      </c>
    </row>
    <row r="113" spans="1:79" ht="37.5" x14ac:dyDescent="0.25">
      <c r="A113" s="172"/>
      <c r="B113" s="173"/>
      <c r="C113" s="151" t="s">
        <v>37</v>
      </c>
      <c r="D113" s="168"/>
      <c r="E113" s="166"/>
      <c r="F113" s="165"/>
      <c r="G113" s="142" t="s">
        <v>244</v>
      </c>
      <c r="H113" s="166"/>
      <c r="I113" s="33">
        <v>11933.47999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3">
        <f t="shared" si="64"/>
        <v>11933.47999</v>
      </c>
      <c r="AG113" s="52"/>
      <c r="AH113" s="52"/>
      <c r="AI113" s="52"/>
      <c r="AJ113" s="52"/>
      <c r="AM113" s="44"/>
      <c r="AV113" s="44" t="e">
        <f>AV116+#REF!+#REF!</f>
        <v>#REF!</v>
      </c>
    </row>
    <row r="114" spans="1:79" ht="56.25" x14ac:dyDescent="0.25">
      <c r="A114" s="172"/>
      <c r="B114" s="173"/>
      <c r="C114" s="53" t="s">
        <v>225</v>
      </c>
      <c r="D114" s="168" t="s">
        <v>13</v>
      </c>
      <c r="E114" s="165" t="s">
        <v>53</v>
      </c>
      <c r="F114" s="165" t="s">
        <v>60</v>
      </c>
      <c r="G114" s="142" t="s">
        <v>244</v>
      </c>
      <c r="H114" s="166" t="s">
        <v>74</v>
      </c>
      <c r="I114" s="33">
        <f t="shared" ref="I114:N114" si="65">I115+I116+I117</f>
        <v>226426.13999999998</v>
      </c>
      <c r="J114" s="33">
        <f t="shared" si="65"/>
        <v>0</v>
      </c>
      <c r="K114" s="33">
        <f t="shared" si="65"/>
        <v>0</v>
      </c>
      <c r="L114" s="33">
        <f t="shared" si="65"/>
        <v>0</v>
      </c>
      <c r="M114" s="33">
        <f t="shared" si="65"/>
        <v>0</v>
      </c>
      <c r="N114" s="33">
        <f t="shared" si="65"/>
        <v>0</v>
      </c>
      <c r="O114" s="33">
        <v>0</v>
      </c>
      <c r="P114" s="33">
        <v>0</v>
      </c>
      <c r="Q114" s="33">
        <v>0</v>
      </c>
      <c r="R114" s="33">
        <v>0</v>
      </c>
      <c r="S114" s="33">
        <f t="shared" si="64"/>
        <v>226426.13999999998</v>
      </c>
      <c r="T114" s="91">
        <v>148348.9</v>
      </c>
      <c r="AG114" s="33">
        <f>SUM(AG118:AG182)</f>
        <v>33971.722589999998</v>
      </c>
      <c r="AH114" s="33">
        <f>SUM(AH118:AH182)</f>
        <v>3253.92</v>
      </c>
      <c r="AI114" s="33">
        <f>SUM(AI118:AI182)</f>
        <v>4880.88</v>
      </c>
      <c r="AJ114" s="33">
        <f>SUM(AG114:AI114)</f>
        <v>42106.522589999993</v>
      </c>
      <c r="AM114" s="44">
        <f>I114-AG114</f>
        <v>192454.41740999999</v>
      </c>
      <c r="AV114" s="44">
        <f>S114+S110</f>
        <v>346739.01986999996</v>
      </c>
    </row>
    <row r="115" spans="1:79" ht="56.25" x14ac:dyDescent="0.25">
      <c r="A115" s="172"/>
      <c r="B115" s="173"/>
      <c r="C115" s="151" t="s">
        <v>178</v>
      </c>
      <c r="D115" s="168"/>
      <c r="E115" s="165"/>
      <c r="F115" s="165"/>
      <c r="G115" s="142" t="s">
        <v>244</v>
      </c>
      <c r="H115" s="166"/>
      <c r="I115" s="33">
        <f t="shared" ref="I115:M117" si="66">I119+I131+I143+I147+I159+I171+I183</f>
        <v>138758.60999999999</v>
      </c>
      <c r="J115" s="33">
        <f t="shared" si="66"/>
        <v>0</v>
      </c>
      <c r="K115" s="33">
        <f t="shared" si="66"/>
        <v>0</v>
      </c>
      <c r="L115" s="33">
        <f t="shared" si="66"/>
        <v>0</v>
      </c>
      <c r="M115" s="33">
        <f t="shared" si="66"/>
        <v>0</v>
      </c>
      <c r="N115" s="33">
        <f>N119+N131+N143+N147+N159+N171+N183</f>
        <v>0</v>
      </c>
      <c r="O115" s="33">
        <v>0</v>
      </c>
      <c r="P115" s="33">
        <v>0</v>
      </c>
      <c r="Q115" s="33">
        <v>0</v>
      </c>
      <c r="R115" s="33">
        <v>0</v>
      </c>
      <c r="S115" s="33">
        <f t="shared" si="64"/>
        <v>138758.60999999999</v>
      </c>
      <c r="T115" s="52"/>
      <c r="AG115" s="33"/>
      <c r="AH115" s="33"/>
      <c r="AI115" s="33"/>
      <c r="AJ115" s="33"/>
      <c r="AM115" s="44"/>
      <c r="CA115" s="35">
        <v>184476.95</v>
      </c>
    </row>
    <row r="116" spans="1:79" ht="37.5" x14ac:dyDescent="0.25">
      <c r="A116" s="172"/>
      <c r="B116" s="173"/>
      <c r="C116" s="151" t="s">
        <v>179</v>
      </c>
      <c r="D116" s="168"/>
      <c r="E116" s="165"/>
      <c r="F116" s="165"/>
      <c r="G116" s="142" t="s">
        <v>244</v>
      </c>
      <c r="H116" s="166"/>
      <c r="I116" s="20">
        <f t="shared" si="66"/>
        <v>85425.69</v>
      </c>
      <c r="J116" s="33">
        <f t="shared" si="66"/>
        <v>0</v>
      </c>
      <c r="K116" s="33">
        <f t="shared" si="66"/>
        <v>0</v>
      </c>
      <c r="L116" s="33">
        <f t="shared" si="66"/>
        <v>0</v>
      </c>
      <c r="M116" s="33">
        <f t="shared" si="66"/>
        <v>0</v>
      </c>
      <c r="N116" s="33">
        <f>N120+N132+N144+N148+N160+N172+N184</f>
        <v>0</v>
      </c>
      <c r="O116" s="33">
        <v>0</v>
      </c>
      <c r="P116" s="33">
        <v>0</v>
      </c>
      <c r="Q116" s="33">
        <v>0</v>
      </c>
      <c r="R116" s="33">
        <v>0</v>
      </c>
      <c r="S116" s="33">
        <f t="shared" si="64"/>
        <v>85425.69</v>
      </c>
      <c r="T116" s="52"/>
      <c r="AG116" s="33"/>
      <c r="AH116" s="33"/>
      <c r="AI116" s="33"/>
      <c r="AJ116" s="33"/>
      <c r="AM116" s="44"/>
      <c r="CA116" s="35">
        <v>128195.85</v>
      </c>
    </row>
    <row r="117" spans="1:79" ht="37.5" x14ac:dyDescent="0.25">
      <c r="A117" s="172"/>
      <c r="B117" s="173"/>
      <c r="C117" s="151" t="s">
        <v>37</v>
      </c>
      <c r="D117" s="168"/>
      <c r="E117" s="165"/>
      <c r="F117" s="165"/>
      <c r="G117" s="142" t="s">
        <v>244</v>
      </c>
      <c r="H117" s="166"/>
      <c r="I117" s="33">
        <f>I121+I133+I145+I149+I161+I173+I185</f>
        <v>2241.84</v>
      </c>
      <c r="J117" s="33">
        <f t="shared" si="66"/>
        <v>0</v>
      </c>
      <c r="K117" s="33">
        <f t="shared" si="66"/>
        <v>0</v>
      </c>
      <c r="L117" s="33">
        <f t="shared" si="66"/>
        <v>0</v>
      </c>
      <c r="M117" s="33">
        <f t="shared" si="66"/>
        <v>0</v>
      </c>
      <c r="N117" s="33">
        <f>N121+N133+N145+N149+N161+N173+N185</f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f t="shared" si="64"/>
        <v>2241.84</v>
      </c>
      <c r="T117" s="52"/>
      <c r="AG117" s="33"/>
      <c r="AH117" s="33"/>
      <c r="AI117" s="33"/>
      <c r="AJ117" s="33"/>
      <c r="AM117" s="44"/>
    </row>
    <row r="118" spans="1:79" ht="39" hidden="1" customHeight="1" x14ac:dyDescent="0.25">
      <c r="A118" s="172"/>
      <c r="B118" s="173"/>
      <c r="C118" s="151" t="s">
        <v>186</v>
      </c>
      <c r="D118" s="168" t="s">
        <v>23</v>
      </c>
      <c r="E118" s="166">
        <v>919</v>
      </c>
      <c r="F118" s="165" t="s">
        <v>60</v>
      </c>
      <c r="G118" s="142" t="s">
        <v>246</v>
      </c>
      <c r="H118" s="166" t="s">
        <v>222</v>
      </c>
      <c r="I118" s="33">
        <f t="shared" ref="I118:N118" si="67">I119+I120+I121</f>
        <v>23653.57</v>
      </c>
      <c r="J118" s="33">
        <f t="shared" si="67"/>
        <v>0</v>
      </c>
      <c r="K118" s="33">
        <f t="shared" si="67"/>
        <v>0</v>
      </c>
      <c r="L118" s="33">
        <f t="shared" si="67"/>
        <v>0</v>
      </c>
      <c r="M118" s="33">
        <f t="shared" si="67"/>
        <v>0</v>
      </c>
      <c r="N118" s="33">
        <f t="shared" si="67"/>
        <v>0</v>
      </c>
      <c r="O118" s="33"/>
      <c r="P118" s="33"/>
      <c r="Q118" s="33"/>
      <c r="R118" s="33"/>
      <c r="S118" s="33">
        <f t="shared" si="63"/>
        <v>23653.57</v>
      </c>
      <c r="AG118" s="33">
        <f>20624.03138+3063.67</f>
        <v>23687.701379999999</v>
      </c>
      <c r="AH118" s="33">
        <v>2450.94</v>
      </c>
      <c r="AI118" s="33">
        <v>3676.4</v>
      </c>
      <c r="AJ118" s="33">
        <f>SUM(AG118:AI118)</f>
        <v>29815.041379999999</v>
      </c>
      <c r="AM118" s="44">
        <f>I118-AG118</f>
        <v>-34.131379999998899</v>
      </c>
      <c r="CA118" s="33">
        <f>CA119+CA120+CA121</f>
        <v>0</v>
      </c>
    </row>
    <row r="119" spans="1:79" ht="26.25" hidden="1" customHeight="1" x14ac:dyDescent="0.25">
      <c r="A119" s="172"/>
      <c r="B119" s="173"/>
      <c r="C119" s="151" t="s">
        <v>178</v>
      </c>
      <c r="D119" s="168"/>
      <c r="E119" s="166"/>
      <c r="F119" s="165"/>
      <c r="G119" s="142" t="s">
        <v>246</v>
      </c>
      <c r="H119" s="178"/>
      <c r="I119" s="33">
        <f t="shared" ref="I119:N119" si="68">I123+I127</f>
        <v>14530.68</v>
      </c>
      <c r="J119" s="33">
        <f t="shared" si="68"/>
        <v>0</v>
      </c>
      <c r="K119" s="33">
        <f t="shared" si="68"/>
        <v>0</v>
      </c>
      <c r="L119" s="33">
        <f t="shared" si="68"/>
        <v>0</v>
      </c>
      <c r="M119" s="33">
        <f t="shared" si="68"/>
        <v>0</v>
      </c>
      <c r="N119" s="33">
        <f t="shared" si="68"/>
        <v>0</v>
      </c>
      <c r="O119" s="33"/>
      <c r="P119" s="33"/>
      <c r="Q119" s="33"/>
      <c r="R119" s="33"/>
      <c r="S119" s="33">
        <f t="shared" si="63"/>
        <v>14530.68</v>
      </c>
      <c r="AG119" s="33"/>
      <c r="AH119" s="33"/>
      <c r="AI119" s="33"/>
      <c r="AJ119" s="33"/>
      <c r="AM119" s="44"/>
    </row>
    <row r="120" spans="1:79" ht="26.25" hidden="1" customHeight="1" x14ac:dyDescent="0.25">
      <c r="A120" s="172"/>
      <c r="B120" s="173"/>
      <c r="C120" s="151" t="s">
        <v>179</v>
      </c>
      <c r="D120" s="168"/>
      <c r="E120" s="166"/>
      <c r="F120" s="165"/>
      <c r="G120" s="142" t="s">
        <v>246</v>
      </c>
      <c r="H120" s="178"/>
      <c r="I120" s="33">
        <f t="shared" ref="I120:M121" si="69">I124+I128</f>
        <v>8946.02</v>
      </c>
      <c r="J120" s="33">
        <f t="shared" si="69"/>
        <v>0</v>
      </c>
      <c r="K120" s="33">
        <f t="shared" si="69"/>
        <v>0</v>
      </c>
      <c r="L120" s="33">
        <f t="shared" si="69"/>
        <v>0</v>
      </c>
      <c r="M120" s="33">
        <f t="shared" si="69"/>
        <v>0</v>
      </c>
      <c r="N120" s="33">
        <f>N124+N128</f>
        <v>0</v>
      </c>
      <c r="O120" s="33"/>
      <c r="P120" s="33"/>
      <c r="Q120" s="33"/>
      <c r="R120" s="33"/>
      <c r="S120" s="33">
        <f t="shared" si="63"/>
        <v>8946.02</v>
      </c>
      <c r="AG120" s="33"/>
      <c r="AH120" s="33"/>
      <c r="AI120" s="33"/>
      <c r="AJ120" s="33"/>
      <c r="AM120" s="44"/>
    </row>
    <row r="121" spans="1:79" ht="26.25" hidden="1" customHeight="1" x14ac:dyDescent="0.25">
      <c r="A121" s="172"/>
      <c r="B121" s="173"/>
      <c r="C121" s="151" t="s">
        <v>37</v>
      </c>
      <c r="D121" s="168"/>
      <c r="E121" s="166"/>
      <c r="F121" s="165"/>
      <c r="G121" s="142" t="s">
        <v>246</v>
      </c>
      <c r="H121" s="178"/>
      <c r="I121" s="33">
        <f t="shared" si="69"/>
        <v>176.87</v>
      </c>
      <c r="J121" s="33">
        <f t="shared" si="69"/>
        <v>0</v>
      </c>
      <c r="K121" s="33">
        <f t="shared" si="69"/>
        <v>0</v>
      </c>
      <c r="L121" s="33">
        <f t="shared" si="69"/>
        <v>0</v>
      </c>
      <c r="M121" s="33">
        <f t="shared" si="69"/>
        <v>0</v>
      </c>
      <c r="N121" s="33">
        <f>N125+N129</f>
        <v>0</v>
      </c>
      <c r="O121" s="33"/>
      <c r="P121" s="33"/>
      <c r="Q121" s="33"/>
      <c r="R121" s="33"/>
      <c r="S121" s="33">
        <f t="shared" si="63"/>
        <v>176.87</v>
      </c>
      <c r="AG121" s="33"/>
      <c r="AH121" s="33"/>
      <c r="AI121" s="33"/>
      <c r="AJ121" s="33"/>
      <c r="AM121" s="44"/>
    </row>
    <row r="122" spans="1:79" ht="26.25" hidden="1" customHeight="1" x14ac:dyDescent="0.25">
      <c r="A122" s="172"/>
      <c r="B122" s="173"/>
      <c r="C122" s="151" t="s">
        <v>186</v>
      </c>
      <c r="D122" s="168"/>
      <c r="E122" s="166"/>
      <c r="F122" s="165"/>
      <c r="G122" s="142" t="s">
        <v>246</v>
      </c>
      <c r="H122" s="166">
        <v>631</v>
      </c>
      <c r="I122" s="33">
        <f t="shared" ref="I122:N122" si="70">I123+I124+I125</f>
        <v>0</v>
      </c>
      <c r="J122" s="33">
        <f t="shared" si="70"/>
        <v>0</v>
      </c>
      <c r="K122" s="33">
        <f t="shared" si="70"/>
        <v>0</v>
      </c>
      <c r="L122" s="33">
        <f t="shared" si="70"/>
        <v>0</v>
      </c>
      <c r="M122" s="33">
        <f t="shared" si="70"/>
        <v>0</v>
      </c>
      <c r="N122" s="33">
        <f t="shared" si="70"/>
        <v>0</v>
      </c>
      <c r="O122" s="33"/>
      <c r="P122" s="33"/>
      <c r="Q122" s="33"/>
      <c r="R122" s="33"/>
      <c r="S122" s="33">
        <f t="shared" si="63"/>
        <v>0</v>
      </c>
      <c r="AG122" s="33"/>
      <c r="AH122" s="33"/>
      <c r="AI122" s="33"/>
      <c r="AJ122" s="33"/>
      <c r="AM122" s="44"/>
    </row>
    <row r="123" spans="1:79" ht="26.25" hidden="1" customHeight="1" x14ac:dyDescent="0.25">
      <c r="A123" s="172"/>
      <c r="B123" s="173"/>
      <c r="C123" s="151" t="s">
        <v>178</v>
      </c>
      <c r="D123" s="168"/>
      <c r="E123" s="166"/>
      <c r="F123" s="165"/>
      <c r="G123" s="142" t="s">
        <v>246</v>
      </c>
      <c r="H123" s="166"/>
      <c r="I123" s="33">
        <v>0</v>
      </c>
      <c r="J123" s="33">
        <v>0</v>
      </c>
      <c r="K123" s="33">
        <v>0</v>
      </c>
      <c r="L123" s="33">
        <v>0</v>
      </c>
      <c r="M123" s="33">
        <v>0</v>
      </c>
      <c r="N123" s="33">
        <v>0</v>
      </c>
      <c r="O123" s="33"/>
      <c r="P123" s="33"/>
      <c r="Q123" s="33"/>
      <c r="R123" s="33"/>
      <c r="S123" s="33">
        <f t="shared" si="63"/>
        <v>0</v>
      </c>
      <c r="AG123" s="33"/>
      <c r="AH123" s="33"/>
      <c r="AI123" s="33"/>
      <c r="AJ123" s="33"/>
      <c r="AM123" s="44"/>
    </row>
    <row r="124" spans="1:79" ht="26.25" hidden="1" customHeight="1" x14ac:dyDescent="0.25">
      <c r="A124" s="172"/>
      <c r="B124" s="173"/>
      <c r="C124" s="151" t="s">
        <v>179</v>
      </c>
      <c r="D124" s="168"/>
      <c r="E124" s="166"/>
      <c r="F124" s="165"/>
      <c r="G124" s="142" t="s">
        <v>246</v>
      </c>
      <c r="H124" s="166"/>
      <c r="I124" s="33">
        <v>0</v>
      </c>
      <c r="J124" s="33">
        <v>0</v>
      </c>
      <c r="K124" s="33">
        <v>0</v>
      </c>
      <c r="L124" s="33">
        <v>0</v>
      </c>
      <c r="M124" s="33">
        <v>0</v>
      </c>
      <c r="N124" s="33">
        <v>0</v>
      </c>
      <c r="O124" s="33"/>
      <c r="P124" s="33"/>
      <c r="Q124" s="33"/>
      <c r="R124" s="33"/>
      <c r="S124" s="33">
        <f t="shared" si="63"/>
        <v>0</v>
      </c>
      <c r="AG124" s="33"/>
      <c r="AH124" s="33"/>
      <c r="AI124" s="33"/>
      <c r="AJ124" s="33"/>
      <c r="AM124" s="44"/>
    </row>
    <row r="125" spans="1:79" ht="26.25" hidden="1" customHeight="1" x14ac:dyDescent="0.25">
      <c r="A125" s="172"/>
      <c r="B125" s="173"/>
      <c r="C125" s="151" t="s">
        <v>37</v>
      </c>
      <c r="D125" s="168"/>
      <c r="E125" s="166"/>
      <c r="F125" s="165"/>
      <c r="G125" s="142" t="s">
        <v>246</v>
      </c>
      <c r="H125" s="166"/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/>
      <c r="P125" s="33"/>
      <c r="Q125" s="33"/>
      <c r="R125" s="33"/>
      <c r="S125" s="33">
        <f t="shared" si="63"/>
        <v>0</v>
      </c>
      <c r="AG125" s="33"/>
      <c r="AH125" s="33"/>
      <c r="AI125" s="33"/>
      <c r="AJ125" s="33"/>
      <c r="AM125" s="44"/>
    </row>
    <row r="126" spans="1:79" x14ac:dyDescent="0.25">
      <c r="A126" s="172"/>
      <c r="B126" s="173"/>
      <c r="C126" s="151" t="s">
        <v>186</v>
      </c>
      <c r="D126" s="168"/>
      <c r="E126" s="166"/>
      <c r="F126" s="165"/>
      <c r="G126" s="142" t="s">
        <v>244</v>
      </c>
      <c r="H126" s="166">
        <v>810</v>
      </c>
      <c r="I126" s="20">
        <f t="shared" ref="I126:N126" si="71">I127+I128+I129</f>
        <v>23653.57</v>
      </c>
      <c r="J126" s="33">
        <f t="shared" si="71"/>
        <v>0</v>
      </c>
      <c r="K126" s="33">
        <f t="shared" si="71"/>
        <v>0</v>
      </c>
      <c r="L126" s="33">
        <f t="shared" si="71"/>
        <v>0</v>
      </c>
      <c r="M126" s="33">
        <f t="shared" si="71"/>
        <v>0</v>
      </c>
      <c r="N126" s="33">
        <f t="shared" si="71"/>
        <v>0</v>
      </c>
      <c r="O126" s="33">
        <v>0</v>
      </c>
      <c r="P126" s="33">
        <v>0</v>
      </c>
      <c r="Q126" s="33">
        <v>0</v>
      </c>
      <c r="R126" s="33">
        <v>0</v>
      </c>
      <c r="S126" s="33">
        <f t="shared" si="63"/>
        <v>23653.57</v>
      </c>
      <c r="AG126" s="33"/>
      <c r="AH126" s="33"/>
      <c r="AI126" s="33"/>
      <c r="AJ126" s="33"/>
      <c r="AM126" s="44"/>
      <c r="AV126" s="44">
        <f>I126+I123</f>
        <v>23653.57</v>
      </c>
    </row>
    <row r="127" spans="1:79" ht="56.25" x14ac:dyDescent="0.25">
      <c r="A127" s="172"/>
      <c r="B127" s="173"/>
      <c r="C127" s="151" t="s">
        <v>178</v>
      </c>
      <c r="D127" s="168"/>
      <c r="E127" s="166"/>
      <c r="F127" s="165"/>
      <c r="G127" s="142" t="s">
        <v>244</v>
      </c>
      <c r="H127" s="166"/>
      <c r="I127" s="33">
        <v>14530.68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0</v>
      </c>
      <c r="S127" s="33">
        <f t="shared" ref="S127:S133" si="72">SUM(I127:R127)</f>
        <v>14530.68</v>
      </c>
      <c r="AG127" s="33"/>
      <c r="AH127" s="33"/>
      <c r="AI127" s="33"/>
      <c r="AJ127" s="33"/>
      <c r="AM127" s="44"/>
      <c r="AV127" s="44"/>
    </row>
    <row r="128" spans="1:79" ht="37.5" x14ac:dyDescent="0.25">
      <c r="A128" s="172"/>
      <c r="B128" s="173"/>
      <c r="C128" s="151" t="s">
        <v>179</v>
      </c>
      <c r="D128" s="168"/>
      <c r="E128" s="166"/>
      <c r="F128" s="165"/>
      <c r="G128" s="142" t="s">
        <v>244</v>
      </c>
      <c r="H128" s="166"/>
      <c r="I128" s="33">
        <f>8946.03-0.01</f>
        <v>8946.02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3">
        <f t="shared" si="72"/>
        <v>8946.02</v>
      </c>
      <c r="AG128" s="33"/>
      <c r="AH128" s="33"/>
      <c r="AI128" s="33"/>
      <c r="AJ128" s="33"/>
      <c r="AM128" s="44"/>
      <c r="AV128" s="44">
        <f>I128+I124</f>
        <v>8946.02</v>
      </c>
    </row>
    <row r="129" spans="1:79" ht="37.5" x14ac:dyDescent="0.25">
      <c r="A129" s="172"/>
      <c r="B129" s="173"/>
      <c r="C129" s="151" t="s">
        <v>37</v>
      </c>
      <c r="D129" s="168"/>
      <c r="E129" s="166"/>
      <c r="F129" s="165"/>
      <c r="G129" s="142" t="s">
        <v>244</v>
      </c>
      <c r="H129" s="166"/>
      <c r="I129" s="33">
        <v>176.87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f t="shared" si="72"/>
        <v>176.87</v>
      </c>
      <c r="AG129" s="33"/>
      <c r="AH129" s="33"/>
      <c r="AI129" s="33"/>
      <c r="AJ129" s="33"/>
      <c r="AM129" s="44"/>
      <c r="AV129" s="44">
        <f>I129+I125</f>
        <v>176.87</v>
      </c>
      <c r="CA129" s="50">
        <v>143.32</v>
      </c>
    </row>
    <row r="130" spans="1:79" x14ac:dyDescent="0.25">
      <c r="A130" s="172"/>
      <c r="B130" s="173"/>
      <c r="C130" s="151" t="s">
        <v>186</v>
      </c>
      <c r="D130" s="168" t="s">
        <v>24</v>
      </c>
      <c r="E130" s="166">
        <v>922</v>
      </c>
      <c r="F130" s="165" t="s">
        <v>60</v>
      </c>
      <c r="G130" s="142" t="s">
        <v>244</v>
      </c>
      <c r="H130" s="166" t="s">
        <v>262</v>
      </c>
      <c r="I130" s="33">
        <f t="shared" ref="I130:N130" si="73">I131+I132+I133</f>
        <v>33943.440000000002</v>
      </c>
      <c r="J130" s="33">
        <f t="shared" si="73"/>
        <v>0</v>
      </c>
      <c r="K130" s="33">
        <f t="shared" si="73"/>
        <v>0</v>
      </c>
      <c r="L130" s="33">
        <f t="shared" si="73"/>
        <v>0</v>
      </c>
      <c r="M130" s="33">
        <f t="shared" si="73"/>
        <v>0</v>
      </c>
      <c r="N130" s="33">
        <f t="shared" si="73"/>
        <v>0</v>
      </c>
      <c r="O130" s="33">
        <v>0</v>
      </c>
      <c r="P130" s="33">
        <v>0</v>
      </c>
      <c r="Q130" s="33">
        <v>0</v>
      </c>
      <c r="R130" s="33">
        <v>0</v>
      </c>
      <c r="S130" s="33">
        <f t="shared" si="72"/>
        <v>33943.440000000002</v>
      </c>
      <c r="AG130" s="33"/>
      <c r="AH130" s="33"/>
      <c r="AI130" s="33"/>
      <c r="AJ130" s="33"/>
      <c r="AM130" s="44"/>
      <c r="AV130" s="160"/>
      <c r="CA130" s="50">
        <v>168.83</v>
      </c>
    </row>
    <row r="131" spans="1:79" ht="56.25" x14ac:dyDescent="0.25">
      <c r="A131" s="172"/>
      <c r="B131" s="173"/>
      <c r="C131" s="151" t="s">
        <v>178</v>
      </c>
      <c r="D131" s="168"/>
      <c r="E131" s="166"/>
      <c r="F131" s="165"/>
      <c r="G131" s="142" t="s">
        <v>244</v>
      </c>
      <c r="H131" s="178"/>
      <c r="I131" s="33">
        <v>20847.650000000001</v>
      </c>
      <c r="J131" s="33">
        <f t="shared" ref="J131:N133" si="74">J135+J139</f>
        <v>0</v>
      </c>
      <c r="K131" s="33">
        <f t="shared" si="74"/>
        <v>0</v>
      </c>
      <c r="L131" s="33">
        <f t="shared" si="74"/>
        <v>0</v>
      </c>
      <c r="M131" s="33">
        <f t="shared" si="74"/>
        <v>0</v>
      </c>
      <c r="N131" s="33">
        <f t="shared" si="74"/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f t="shared" si="72"/>
        <v>20847.650000000001</v>
      </c>
      <c r="AG131" s="33"/>
      <c r="AH131" s="33"/>
      <c r="AI131" s="33"/>
      <c r="AJ131" s="33"/>
      <c r="AM131" s="44"/>
      <c r="AV131" s="160"/>
      <c r="CA131" s="50">
        <v>212.54</v>
      </c>
    </row>
    <row r="132" spans="1:79" ht="37.5" x14ac:dyDescent="0.25">
      <c r="A132" s="172"/>
      <c r="B132" s="173"/>
      <c r="C132" s="151" t="s">
        <v>179</v>
      </c>
      <c r="D132" s="168"/>
      <c r="E132" s="166"/>
      <c r="F132" s="165"/>
      <c r="G132" s="142" t="s">
        <v>244</v>
      </c>
      <c r="H132" s="178"/>
      <c r="I132" s="33">
        <v>12837.36</v>
      </c>
      <c r="J132" s="33">
        <f t="shared" si="74"/>
        <v>0</v>
      </c>
      <c r="K132" s="33">
        <f t="shared" si="74"/>
        <v>0</v>
      </c>
      <c r="L132" s="33">
        <f t="shared" si="74"/>
        <v>0</v>
      </c>
      <c r="M132" s="33">
        <f t="shared" si="74"/>
        <v>0</v>
      </c>
      <c r="N132" s="33">
        <f t="shared" si="74"/>
        <v>0</v>
      </c>
      <c r="O132" s="33">
        <v>0</v>
      </c>
      <c r="P132" s="33">
        <v>0</v>
      </c>
      <c r="Q132" s="33">
        <v>0</v>
      </c>
      <c r="R132" s="33">
        <v>0</v>
      </c>
      <c r="S132" s="33">
        <f t="shared" si="72"/>
        <v>12837.36</v>
      </c>
      <c r="AG132" s="33"/>
      <c r="AH132" s="33"/>
      <c r="AI132" s="33"/>
      <c r="AJ132" s="33"/>
      <c r="AM132" s="44"/>
      <c r="AV132" s="160"/>
      <c r="CA132" s="50">
        <v>234.95</v>
      </c>
    </row>
    <row r="133" spans="1:79" ht="37.5" x14ac:dyDescent="0.25">
      <c r="A133" s="172"/>
      <c r="B133" s="173"/>
      <c r="C133" s="151" t="s">
        <v>37</v>
      </c>
      <c r="D133" s="168"/>
      <c r="E133" s="166"/>
      <c r="F133" s="165"/>
      <c r="G133" s="142" t="s">
        <v>244</v>
      </c>
      <c r="H133" s="178"/>
      <c r="I133" s="33">
        <v>258.43</v>
      </c>
      <c r="J133" s="33">
        <f t="shared" si="74"/>
        <v>0</v>
      </c>
      <c r="K133" s="33">
        <f t="shared" si="74"/>
        <v>0</v>
      </c>
      <c r="L133" s="33">
        <f t="shared" si="74"/>
        <v>0</v>
      </c>
      <c r="M133" s="33">
        <f t="shared" si="74"/>
        <v>0</v>
      </c>
      <c r="N133" s="33">
        <f t="shared" si="74"/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f t="shared" si="72"/>
        <v>258.43</v>
      </c>
      <c r="AG133" s="33"/>
      <c r="AH133" s="33"/>
      <c r="AI133" s="33"/>
      <c r="AJ133" s="33"/>
      <c r="AM133" s="44"/>
      <c r="AV133" s="161"/>
      <c r="CA133" s="50">
        <v>202.08</v>
      </c>
    </row>
    <row r="134" spans="1:79" ht="37.5" hidden="1" customHeight="1" x14ac:dyDescent="0.25">
      <c r="A134" s="172"/>
      <c r="B134" s="173"/>
      <c r="C134" s="151" t="s">
        <v>186</v>
      </c>
      <c r="D134" s="168"/>
      <c r="E134" s="166"/>
      <c r="F134" s="165"/>
      <c r="G134" s="142" t="s">
        <v>244</v>
      </c>
      <c r="H134" s="166">
        <v>631</v>
      </c>
      <c r="I134" s="33">
        <f t="shared" ref="I134:N134" si="75">I135+I136+I137</f>
        <v>4412.87</v>
      </c>
      <c r="J134" s="33">
        <f t="shared" si="75"/>
        <v>0</v>
      </c>
      <c r="K134" s="33">
        <f t="shared" si="75"/>
        <v>0</v>
      </c>
      <c r="L134" s="33">
        <f t="shared" si="75"/>
        <v>0</v>
      </c>
      <c r="M134" s="33">
        <f t="shared" si="75"/>
        <v>0</v>
      </c>
      <c r="N134" s="33">
        <f t="shared" si="75"/>
        <v>0</v>
      </c>
      <c r="O134" s="33"/>
      <c r="P134" s="33"/>
      <c r="Q134" s="33"/>
      <c r="R134" s="33"/>
      <c r="S134" s="33">
        <f t="shared" si="63"/>
        <v>4412.87</v>
      </c>
      <c r="AG134" s="33"/>
      <c r="AH134" s="33"/>
      <c r="AI134" s="33"/>
      <c r="AJ134" s="33"/>
      <c r="AM134" s="44"/>
      <c r="AV134" s="54"/>
      <c r="CA134" s="50">
        <v>454.33</v>
      </c>
    </row>
    <row r="135" spans="1:79" ht="29.25" hidden="1" customHeight="1" x14ac:dyDescent="0.25">
      <c r="A135" s="172"/>
      <c r="B135" s="173"/>
      <c r="C135" s="151" t="s">
        <v>178</v>
      </c>
      <c r="D135" s="168"/>
      <c r="E135" s="166"/>
      <c r="F135" s="165"/>
      <c r="G135" s="142" t="s">
        <v>244</v>
      </c>
      <c r="H135" s="166"/>
      <c r="I135" s="33">
        <v>2731.12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/>
      <c r="P135" s="33"/>
      <c r="Q135" s="33"/>
      <c r="R135" s="33"/>
      <c r="S135" s="33">
        <f t="shared" si="63"/>
        <v>2731.12</v>
      </c>
      <c r="AG135" s="33"/>
      <c r="AH135" s="33"/>
      <c r="AI135" s="33"/>
      <c r="AJ135" s="33"/>
      <c r="AM135" s="44"/>
      <c r="AV135" s="54"/>
      <c r="CA135" s="50">
        <v>108.53</v>
      </c>
    </row>
    <row r="136" spans="1:79" ht="29.25" hidden="1" customHeight="1" x14ac:dyDescent="0.25">
      <c r="A136" s="172"/>
      <c r="B136" s="173"/>
      <c r="C136" s="151" t="s">
        <v>179</v>
      </c>
      <c r="D136" s="168"/>
      <c r="E136" s="166"/>
      <c r="F136" s="165"/>
      <c r="G136" s="142" t="s">
        <v>244</v>
      </c>
      <c r="H136" s="166"/>
      <c r="I136" s="33">
        <v>1681.75</v>
      </c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33"/>
      <c r="P136" s="33"/>
      <c r="Q136" s="33"/>
      <c r="R136" s="33"/>
      <c r="S136" s="33">
        <f t="shared" si="63"/>
        <v>1681.75</v>
      </c>
      <c r="AG136" s="33"/>
      <c r="AH136" s="33"/>
      <c r="AI136" s="33"/>
      <c r="AJ136" s="33"/>
      <c r="AM136" s="44"/>
      <c r="AV136" s="54"/>
    </row>
    <row r="137" spans="1:79" ht="29.25" hidden="1" customHeight="1" x14ac:dyDescent="0.25">
      <c r="A137" s="172"/>
      <c r="B137" s="173"/>
      <c r="C137" s="151" t="s">
        <v>37</v>
      </c>
      <c r="D137" s="168"/>
      <c r="E137" s="166"/>
      <c r="F137" s="165"/>
      <c r="G137" s="142" t="s">
        <v>244</v>
      </c>
      <c r="H137" s="166"/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/>
      <c r="P137" s="33"/>
      <c r="Q137" s="33"/>
      <c r="R137" s="33"/>
      <c r="S137" s="33">
        <f t="shared" si="63"/>
        <v>0</v>
      </c>
      <c r="AG137" s="33"/>
      <c r="AH137" s="33"/>
      <c r="AI137" s="33"/>
      <c r="AJ137" s="33"/>
      <c r="AM137" s="44"/>
      <c r="AV137" s="54"/>
    </row>
    <row r="138" spans="1:79" ht="42" hidden="1" customHeight="1" x14ac:dyDescent="0.25">
      <c r="A138" s="172"/>
      <c r="B138" s="173"/>
      <c r="C138" s="151" t="s">
        <v>186</v>
      </c>
      <c r="D138" s="168"/>
      <c r="E138" s="166"/>
      <c r="F138" s="165"/>
      <c r="G138" s="142" t="s">
        <v>244</v>
      </c>
      <c r="H138" s="166">
        <v>811</v>
      </c>
      <c r="I138" s="33">
        <f t="shared" ref="I138:N138" si="76">I139+I140+I141</f>
        <v>29530.57</v>
      </c>
      <c r="J138" s="33">
        <f t="shared" si="76"/>
        <v>0</v>
      </c>
      <c r="K138" s="33">
        <f t="shared" si="76"/>
        <v>0</v>
      </c>
      <c r="L138" s="33">
        <f t="shared" si="76"/>
        <v>0</v>
      </c>
      <c r="M138" s="33">
        <f t="shared" si="76"/>
        <v>0</v>
      </c>
      <c r="N138" s="33">
        <f t="shared" si="76"/>
        <v>0</v>
      </c>
      <c r="O138" s="33"/>
      <c r="P138" s="33"/>
      <c r="Q138" s="33"/>
      <c r="R138" s="33"/>
      <c r="S138" s="33">
        <f t="shared" si="63"/>
        <v>29530.57</v>
      </c>
      <c r="AG138" s="33"/>
      <c r="AH138" s="33"/>
      <c r="AI138" s="33"/>
      <c r="AJ138" s="33"/>
      <c r="AM138" s="44"/>
      <c r="AV138" s="44">
        <f>I138+I134</f>
        <v>33943.440000000002</v>
      </c>
    </row>
    <row r="139" spans="1:79" ht="29.25" hidden="1" customHeight="1" x14ac:dyDescent="0.25">
      <c r="A139" s="172"/>
      <c r="B139" s="173"/>
      <c r="C139" s="151" t="s">
        <v>178</v>
      </c>
      <c r="D139" s="168"/>
      <c r="E139" s="166"/>
      <c r="F139" s="165"/>
      <c r="G139" s="142" t="s">
        <v>244</v>
      </c>
      <c r="H139" s="166"/>
      <c r="I139" s="33">
        <v>18116.53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33"/>
      <c r="P139" s="33"/>
      <c r="Q139" s="33"/>
      <c r="R139" s="33"/>
      <c r="S139" s="33">
        <f t="shared" si="63"/>
        <v>18116.53</v>
      </c>
      <c r="AG139" s="33"/>
      <c r="AH139" s="33"/>
      <c r="AI139" s="33"/>
      <c r="AJ139" s="33"/>
      <c r="AM139" s="44"/>
      <c r="AV139" s="44"/>
    </row>
    <row r="140" spans="1:79" ht="29.25" hidden="1" customHeight="1" x14ac:dyDescent="0.25">
      <c r="A140" s="172"/>
      <c r="B140" s="173"/>
      <c r="C140" s="151" t="s">
        <v>179</v>
      </c>
      <c r="D140" s="168"/>
      <c r="E140" s="166"/>
      <c r="F140" s="165"/>
      <c r="G140" s="142" t="s">
        <v>244</v>
      </c>
      <c r="H140" s="166"/>
      <c r="I140" s="33">
        <v>11155.61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/>
      <c r="P140" s="33"/>
      <c r="Q140" s="33"/>
      <c r="R140" s="33"/>
      <c r="S140" s="33">
        <f t="shared" si="63"/>
        <v>11155.61</v>
      </c>
      <c r="AG140" s="33"/>
      <c r="AH140" s="33"/>
      <c r="AI140" s="33"/>
      <c r="AJ140" s="33"/>
      <c r="AM140" s="44"/>
      <c r="AV140" s="44">
        <f>I140+I135</f>
        <v>13886.73</v>
      </c>
    </row>
    <row r="141" spans="1:79" ht="29.25" hidden="1" customHeight="1" x14ac:dyDescent="0.25">
      <c r="A141" s="172"/>
      <c r="B141" s="173"/>
      <c r="C141" s="151" t="s">
        <v>37</v>
      </c>
      <c r="D141" s="168"/>
      <c r="E141" s="166"/>
      <c r="F141" s="165"/>
      <c r="G141" s="142" t="s">
        <v>244</v>
      </c>
      <c r="H141" s="166"/>
      <c r="I141" s="33">
        <v>258.43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/>
      <c r="P141" s="33"/>
      <c r="Q141" s="33"/>
      <c r="R141" s="33"/>
      <c r="S141" s="33">
        <f t="shared" si="63"/>
        <v>258.43</v>
      </c>
      <c r="AG141" s="33"/>
      <c r="AH141" s="33"/>
      <c r="AI141" s="33"/>
      <c r="AJ141" s="33"/>
      <c r="AM141" s="44"/>
      <c r="AV141" s="44">
        <f>I141+I137</f>
        <v>258.43</v>
      </c>
    </row>
    <row r="142" spans="1:79" x14ac:dyDescent="0.25">
      <c r="A142" s="172"/>
      <c r="B142" s="173"/>
      <c r="C142" s="151" t="s">
        <v>186</v>
      </c>
      <c r="D142" s="168" t="s">
        <v>25</v>
      </c>
      <c r="E142" s="166">
        <v>925</v>
      </c>
      <c r="F142" s="165" t="s">
        <v>60</v>
      </c>
      <c r="G142" s="142" t="s">
        <v>244</v>
      </c>
      <c r="H142" s="166">
        <v>810</v>
      </c>
      <c r="I142" s="33">
        <f t="shared" ref="I142:N142" si="77">I143+I144+I145</f>
        <v>30800.199999999997</v>
      </c>
      <c r="J142" s="33">
        <f t="shared" si="77"/>
        <v>0</v>
      </c>
      <c r="K142" s="33">
        <f t="shared" si="77"/>
        <v>0</v>
      </c>
      <c r="L142" s="33">
        <f t="shared" si="77"/>
        <v>0</v>
      </c>
      <c r="M142" s="33">
        <f t="shared" si="77"/>
        <v>0</v>
      </c>
      <c r="N142" s="33">
        <f t="shared" si="77"/>
        <v>0</v>
      </c>
      <c r="O142" s="33">
        <v>0</v>
      </c>
      <c r="P142" s="33">
        <v>0</v>
      </c>
      <c r="Q142" s="33">
        <v>0</v>
      </c>
      <c r="R142" s="33">
        <v>0</v>
      </c>
      <c r="S142" s="33">
        <f t="shared" si="63"/>
        <v>30800.199999999997</v>
      </c>
      <c r="AG142" s="33"/>
      <c r="AH142" s="33"/>
      <c r="AI142" s="33"/>
      <c r="AJ142" s="33"/>
      <c r="AM142" s="44"/>
    </row>
    <row r="143" spans="1:79" ht="56.25" x14ac:dyDescent="0.25">
      <c r="A143" s="172"/>
      <c r="B143" s="173"/>
      <c r="C143" s="151" t="s">
        <v>178</v>
      </c>
      <c r="D143" s="168"/>
      <c r="E143" s="166"/>
      <c r="F143" s="165"/>
      <c r="G143" s="142" t="s">
        <v>244</v>
      </c>
      <c r="H143" s="166"/>
      <c r="I143" s="33">
        <v>18879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f t="shared" ref="S143:S149" si="78">SUM(I143:R143)</f>
        <v>18879</v>
      </c>
      <c r="AG143" s="33"/>
      <c r="AH143" s="33"/>
      <c r="AI143" s="33"/>
      <c r="AJ143" s="33"/>
      <c r="AM143" s="44"/>
    </row>
    <row r="144" spans="1:79" ht="37.5" x14ac:dyDescent="0.25">
      <c r="A144" s="172"/>
      <c r="B144" s="173"/>
      <c r="C144" s="151" t="s">
        <v>179</v>
      </c>
      <c r="D144" s="168"/>
      <c r="E144" s="166"/>
      <c r="F144" s="165"/>
      <c r="G144" s="142" t="s">
        <v>244</v>
      </c>
      <c r="H144" s="166"/>
      <c r="I144" s="33">
        <v>11623.88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33">
        <v>0</v>
      </c>
      <c r="P144" s="33">
        <v>0</v>
      </c>
      <c r="Q144" s="33">
        <v>0</v>
      </c>
      <c r="R144" s="33">
        <v>0</v>
      </c>
      <c r="S144" s="33">
        <f t="shared" si="78"/>
        <v>11623.88</v>
      </c>
      <c r="AG144" s="33"/>
      <c r="AH144" s="33"/>
      <c r="AI144" s="33"/>
      <c r="AJ144" s="33"/>
      <c r="AM144" s="44"/>
      <c r="BN144" s="35" t="s">
        <v>151</v>
      </c>
    </row>
    <row r="145" spans="1:48" ht="37.5" x14ac:dyDescent="0.25">
      <c r="A145" s="172"/>
      <c r="B145" s="173"/>
      <c r="C145" s="151" t="s">
        <v>37</v>
      </c>
      <c r="D145" s="168"/>
      <c r="E145" s="166"/>
      <c r="F145" s="165"/>
      <c r="G145" s="142" t="s">
        <v>244</v>
      </c>
      <c r="H145" s="166"/>
      <c r="I145" s="33">
        <v>297.32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f t="shared" si="78"/>
        <v>297.32</v>
      </c>
      <c r="AG145" s="33"/>
      <c r="AH145" s="33"/>
      <c r="AI145" s="33"/>
      <c r="AJ145" s="33"/>
      <c r="AM145" s="44"/>
    </row>
    <row r="146" spans="1:48" x14ac:dyDescent="0.25">
      <c r="A146" s="172"/>
      <c r="B146" s="173"/>
      <c r="C146" s="151" t="s">
        <v>186</v>
      </c>
      <c r="D146" s="168" t="s">
        <v>26</v>
      </c>
      <c r="E146" s="166">
        <v>928</v>
      </c>
      <c r="F146" s="165" t="s">
        <v>60</v>
      </c>
      <c r="G146" s="142" t="s">
        <v>244</v>
      </c>
      <c r="H146" s="166" t="s">
        <v>262</v>
      </c>
      <c r="I146" s="20">
        <f t="shared" ref="I146:N146" si="79">I147+I148+I149</f>
        <v>35037.83</v>
      </c>
      <c r="J146" s="33">
        <f t="shared" si="79"/>
        <v>0</v>
      </c>
      <c r="K146" s="33">
        <f t="shared" si="79"/>
        <v>0</v>
      </c>
      <c r="L146" s="33">
        <f t="shared" si="79"/>
        <v>0</v>
      </c>
      <c r="M146" s="33">
        <f t="shared" si="79"/>
        <v>0</v>
      </c>
      <c r="N146" s="33">
        <f t="shared" si="79"/>
        <v>0</v>
      </c>
      <c r="O146" s="33">
        <v>0</v>
      </c>
      <c r="P146" s="33">
        <v>0</v>
      </c>
      <c r="Q146" s="33">
        <v>0</v>
      </c>
      <c r="R146" s="33">
        <v>0</v>
      </c>
      <c r="S146" s="33">
        <f t="shared" si="78"/>
        <v>35037.83</v>
      </c>
      <c r="AG146" s="33"/>
      <c r="AH146" s="33"/>
      <c r="AI146" s="33"/>
      <c r="AJ146" s="33"/>
      <c r="AM146" s="44"/>
    </row>
    <row r="147" spans="1:48" ht="56.25" x14ac:dyDescent="0.25">
      <c r="A147" s="172"/>
      <c r="B147" s="173"/>
      <c r="C147" s="151" t="s">
        <v>178</v>
      </c>
      <c r="D147" s="168"/>
      <c r="E147" s="166"/>
      <c r="F147" s="165"/>
      <c r="G147" s="142" t="s">
        <v>244</v>
      </c>
      <c r="H147" s="178"/>
      <c r="I147" s="33">
        <f>21610.67+0.01</f>
        <v>21610.679999999997</v>
      </c>
      <c r="J147" s="33">
        <f t="shared" ref="J147:N149" si="80">J151+J155</f>
        <v>0</v>
      </c>
      <c r="K147" s="33">
        <f t="shared" si="80"/>
        <v>0</v>
      </c>
      <c r="L147" s="33">
        <f t="shared" si="80"/>
        <v>0</v>
      </c>
      <c r="M147" s="33">
        <f t="shared" si="80"/>
        <v>0</v>
      </c>
      <c r="N147" s="33">
        <f t="shared" si="80"/>
        <v>0</v>
      </c>
      <c r="O147" s="33">
        <v>0</v>
      </c>
      <c r="P147" s="33">
        <v>0</v>
      </c>
      <c r="Q147" s="33">
        <v>0</v>
      </c>
      <c r="R147" s="33">
        <v>0</v>
      </c>
      <c r="S147" s="33">
        <f t="shared" si="78"/>
        <v>21610.679999999997</v>
      </c>
      <c r="AG147" s="33"/>
      <c r="AH147" s="33"/>
      <c r="AI147" s="33"/>
      <c r="AJ147" s="33"/>
      <c r="AM147" s="44"/>
    </row>
    <row r="148" spans="1:48" ht="37.5" x14ac:dyDescent="0.25">
      <c r="A148" s="172"/>
      <c r="B148" s="173"/>
      <c r="C148" s="151" t="s">
        <v>179</v>
      </c>
      <c r="D148" s="168"/>
      <c r="E148" s="166"/>
      <c r="F148" s="165"/>
      <c r="G148" s="142" t="s">
        <v>244</v>
      </c>
      <c r="H148" s="178"/>
      <c r="I148" s="33">
        <v>13292.28</v>
      </c>
      <c r="J148" s="33">
        <f t="shared" si="80"/>
        <v>0</v>
      </c>
      <c r="K148" s="33">
        <f t="shared" si="80"/>
        <v>0</v>
      </c>
      <c r="L148" s="33">
        <f t="shared" si="80"/>
        <v>0</v>
      </c>
      <c r="M148" s="33">
        <f t="shared" si="80"/>
        <v>0</v>
      </c>
      <c r="N148" s="33">
        <f t="shared" si="80"/>
        <v>0</v>
      </c>
      <c r="O148" s="33">
        <v>0</v>
      </c>
      <c r="P148" s="33">
        <v>0</v>
      </c>
      <c r="Q148" s="33">
        <v>0</v>
      </c>
      <c r="R148" s="33">
        <v>0</v>
      </c>
      <c r="S148" s="33">
        <f t="shared" si="78"/>
        <v>13292.28</v>
      </c>
      <c r="AG148" s="33"/>
      <c r="AH148" s="33"/>
      <c r="AI148" s="33"/>
      <c r="AJ148" s="33"/>
      <c r="AM148" s="44"/>
    </row>
    <row r="149" spans="1:48" ht="37.5" x14ac:dyDescent="0.25">
      <c r="A149" s="172"/>
      <c r="B149" s="173"/>
      <c r="C149" s="151" t="s">
        <v>37</v>
      </c>
      <c r="D149" s="168"/>
      <c r="E149" s="166"/>
      <c r="F149" s="165"/>
      <c r="G149" s="142" t="s">
        <v>244</v>
      </c>
      <c r="H149" s="178"/>
      <c r="I149" s="33">
        <v>134.87</v>
      </c>
      <c r="J149" s="33">
        <f t="shared" si="80"/>
        <v>0</v>
      </c>
      <c r="K149" s="33">
        <f t="shared" si="80"/>
        <v>0</v>
      </c>
      <c r="L149" s="33">
        <f t="shared" si="80"/>
        <v>0</v>
      </c>
      <c r="M149" s="33">
        <f t="shared" si="80"/>
        <v>0</v>
      </c>
      <c r="N149" s="33">
        <f t="shared" si="80"/>
        <v>0</v>
      </c>
      <c r="O149" s="33">
        <v>0</v>
      </c>
      <c r="P149" s="33">
        <v>0</v>
      </c>
      <c r="Q149" s="33">
        <v>0</v>
      </c>
      <c r="R149" s="33">
        <v>0</v>
      </c>
      <c r="S149" s="33">
        <f t="shared" si="78"/>
        <v>134.87</v>
      </c>
      <c r="AG149" s="33"/>
      <c r="AH149" s="33"/>
      <c r="AI149" s="33"/>
      <c r="AJ149" s="33"/>
      <c r="AM149" s="44"/>
    </row>
    <row r="150" spans="1:48" ht="36" hidden="1" customHeight="1" x14ac:dyDescent="0.25">
      <c r="A150" s="172"/>
      <c r="B150" s="173"/>
      <c r="C150" s="151" t="s">
        <v>186</v>
      </c>
      <c r="D150" s="168"/>
      <c r="E150" s="166"/>
      <c r="F150" s="165"/>
      <c r="G150" s="142" t="s">
        <v>244</v>
      </c>
      <c r="H150" s="166">
        <v>631</v>
      </c>
      <c r="I150" s="33">
        <f t="shared" ref="I150:N150" si="81">I151+I152+I153</f>
        <v>2743.84</v>
      </c>
      <c r="J150" s="33">
        <f t="shared" si="81"/>
        <v>0</v>
      </c>
      <c r="K150" s="33">
        <f t="shared" si="81"/>
        <v>0</v>
      </c>
      <c r="L150" s="33">
        <f t="shared" si="81"/>
        <v>0</v>
      </c>
      <c r="M150" s="33">
        <f t="shared" si="81"/>
        <v>0</v>
      </c>
      <c r="N150" s="33">
        <f t="shared" si="81"/>
        <v>0</v>
      </c>
      <c r="O150" s="33"/>
      <c r="P150" s="33"/>
      <c r="Q150" s="33"/>
      <c r="R150" s="33"/>
      <c r="S150" s="33">
        <f t="shared" si="63"/>
        <v>2743.84</v>
      </c>
      <c r="AG150" s="33"/>
      <c r="AH150" s="33"/>
      <c r="AI150" s="33"/>
      <c r="AJ150" s="33"/>
      <c r="AM150" s="44"/>
      <c r="AV150" s="54"/>
    </row>
    <row r="151" spans="1:48" ht="27" hidden="1" customHeight="1" x14ac:dyDescent="0.25">
      <c r="A151" s="172"/>
      <c r="B151" s="173"/>
      <c r="C151" s="151" t="s">
        <v>178</v>
      </c>
      <c r="D151" s="168"/>
      <c r="E151" s="166"/>
      <c r="F151" s="165"/>
      <c r="G151" s="142" t="s">
        <v>244</v>
      </c>
      <c r="H151" s="166"/>
      <c r="I151" s="33">
        <v>1698.16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/>
      <c r="P151" s="33"/>
      <c r="Q151" s="33"/>
      <c r="R151" s="33"/>
      <c r="S151" s="33">
        <f t="shared" si="63"/>
        <v>1698.16</v>
      </c>
      <c r="AG151" s="33"/>
      <c r="AH151" s="33"/>
      <c r="AI151" s="33"/>
      <c r="AJ151" s="33"/>
      <c r="AM151" s="44"/>
      <c r="AV151" s="54"/>
    </row>
    <row r="152" spans="1:48" ht="27" hidden="1" customHeight="1" x14ac:dyDescent="0.25">
      <c r="A152" s="172"/>
      <c r="B152" s="173"/>
      <c r="C152" s="151" t="s">
        <v>179</v>
      </c>
      <c r="D152" s="168"/>
      <c r="E152" s="166"/>
      <c r="F152" s="165"/>
      <c r="G152" s="142" t="s">
        <v>244</v>
      </c>
      <c r="H152" s="166"/>
      <c r="I152" s="33">
        <v>1045.68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/>
      <c r="P152" s="33"/>
      <c r="Q152" s="33"/>
      <c r="R152" s="33"/>
      <c r="S152" s="33">
        <f t="shared" si="63"/>
        <v>1045.68</v>
      </c>
      <c r="AG152" s="33"/>
      <c r="AH152" s="33"/>
      <c r="AI152" s="33"/>
      <c r="AJ152" s="33"/>
      <c r="AM152" s="44"/>
      <c r="AV152" s="54"/>
    </row>
    <row r="153" spans="1:48" ht="27" hidden="1" customHeight="1" x14ac:dyDescent="0.25">
      <c r="A153" s="172"/>
      <c r="B153" s="173"/>
      <c r="C153" s="151" t="s">
        <v>37</v>
      </c>
      <c r="D153" s="168"/>
      <c r="E153" s="166"/>
      <c r="F153" s="165"/>
      <c r="G153" s="142" t="s">
        <v>244</v>
      </c>
      <c r="H153" s="166"/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/>
      <c r="P153" s="33"/>
      <c r="Q153" s="33"/>
      <c r="R153" s="33"/>
      <c r="S153" s="33">
        <f t="shared" si="63"/>
        <v>0</v>
      </c>
      <c r="AG153" s="33"/>
      <c r="AH153" s="33"/>
      <c r="AI153" s="33"/>
      <c r="AJ153" s="33"/>
      <c r="AM153" s="44"/>
      <c r="AV153" s="54"/>
    </row>
    <row r="154" spans="1:48" ht="36.75" hidden="1" customHeight="1" x14ac:dyDescent="0.25">
      <c r="A154" s="172"/>
      <c r="B154" s="173"/>
      <c r="C154" s="151" t="s">
        <v>186</v>
      </c>
      <c r="D154" s="168"/>
      <c r="E154" s="166"/>
      <c r="F154" s="165"/>
      <c r="G154" s="142" t="s">
        <v>244</v>
      </c>
      <c r="H154" s="166">
        <v>811</v>
      </c>
      <c r="I154" s="33">
        <f>I155+I156+I157</f>
        <v>32293.989999999998</v>
      </c>
      <c r="J154" s="33">
        <v>0</v>
      </c>
      <c r="K154" s="33">
        <f>K155+K156+K157</f>
        <v>0</v>
      </c>
      <c r="L154" s="33">
        <f>L155+L156+L157</f>
        <v>0</v>
      </c>
      <c r="M154" s="33">
        <f>M155+M156+M157</f>
        <v>0</v>
      </c>
      <c r="N154" s="33">
        <f>N155+N156+N157</f>
        <v>0</v>
      </c>
      <c r="O154" s="33"/>
      <c r="P154" s="33"/>
      <c r="Q154" s="33"/>
      <c r="R154" s="33"/>
      <c r="S154" s="33">
        <f t="shared" si="63"/>
        <v>32293.989999999998</v>
      </c>
      <c r="AG154" s="33"/>
      <c r="AH154" s="33"/>
      <c r="AI154" s="33"/>
      <c r="AJ154" s="33"/>
      <c r="AM154" s="44"/>
      <c r="AV154" s="44">
        <f>I154+I150</f>
        <v>35037.83</v>
      </c>
    </row>
    <row r="155" spans="1:48" ht="27" hidden="1" customHeight="1" x14ac:dyDescent="0.25">
      <c r="A155" s="172"/>
      <c r="B155" s="173"/>
      <c r="C155" s="151" t="s">
        <v>178</v>
      </c>
      <c r="D155" s="168"/>
      <c r="E155" s="166"/>
      <c r="F155" s="165"/>
      <c r="G155" s="142" t="s">
        <v>244</v>
      </c>
      <c r="H155" s="166"/>
      <c r="I155" s="33">
        <v>19912.509999999998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/>
      <c r="P155" s="33"/>
      <c r="Q155" s="33"/>
      <c r="R155" s="33"/>
      <c r="S155" s="33">
        <f t="shared" si="63"/>
        <v>19912.509999999998</v>
      </c>
      <c r="AG155" s="33"/>
      <c r="AH155" s="33"/>
      <c r="AI155" s="33"/>
      <c r="AJ155" s="33"/>
      <c r="AM155" s="44"/>
      <c r="AV155" s="44"/>
    </row>
    <row r="156" spans="1:48" ht="27" hidden="1" customHeight="1" x14ac:dyDescent="0.25">
      <c r="A156" s="172"/>
      <c r="B156" s="173"/>
      <c r="C156" s="151" t="s">
        <v>179</v>
      </c>
      <c r="D156" s="168"/>
      <c r="E156" s="166"/>
      <c r="F156" s="165"/>
      <c r="G156" s="142" t="s">
        <v>244</v>
      </c>
      <c r="H156" s="166"/>
      <c r="I156" s="33">
        <v>12246.61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/>
      <c r="P156" s="33"/>
      <c r="Q156" s="33"/>
      <c r="R156" s="33"/>
      <c r="S156" s="33">
        <f t="shared" si="63"/>
        <v>12246.61</v>
      </c>
      <c r="AG156" s="33"/>
      <c r="AH156" s="33"/>
      <c r="AI156" s="33"/>
      <c r="AJ156" s="33"/>
      <c r="AM156" s="44"/>
      <c r="AV156" s="44">
        <f>I156+I152</f>
        <v>13292.29</v>
      </c>
    </row>
    <row r="157" spans="1:48" ht="27" hidden="1" customHeight="1" x14ac:dyDescent="0.25">
      <c r="A157" s="172"/>
      <c r="B157" s="173"/>
      <c r="C157" s="151" t="s">
        <v>37</v>
      </c>
      <c r="D157" s="168"/>
      <c r="E157" s="166"/>
      <c r="F157" s="165"/>
      <c r="G157" s="142" t="s">
        <v>244</v>
      </c>
      <c r="H157" s="166"/>
      <c r="I157" s="33">
        <v>134.87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/>
      <c r="P157" s="33"/>
      <c r="Q157" s="33"/>
      <c r="R157" s="33"/>
      <c r="S157" s="33">
        <f t="shared" si="63"/>
        <v>134.87</v>
      </c>
      <c r="AG157" s="33"/>
      <c r="AH157" s="33"/>
      <c r="AI157" s="33"/>
      <c r="AJ157" s="33"/>
      <c r="AM157" s="44"/>
      <c r="AV157" s="44">
        <f>I157+I153</f>
        <v>134.87</v>
      </c>
    </row>
    <row r="158" spans="1:48" x14ac:dyDescent="0.25">
      <c r="A158" s="172"/>
      <c r="B158" s="173"/>
      <c r="C158" s="151" t="s">
        <v>186</v>
      </c>
      <c r="D158" s="168" t="s">
        <v>27</v>
      </c>
      <c r="E158" s="166">
        <v>931</v>
      </c>
      <c r="F158" s="165" t="s">
        <v>60</v>
      </c>
      <c r="G158" s="142" t="s">
        <v>244</v>
      </c>
      <c r="H158" s="166" t="s">
        <v>262</v>
      </c>
      <c r="I158" s="33">
        <f t="shared" ref="I158:N158" si="82">I159+I160+I161</f>
        <v>79892.12</v>
      </c>
      <c r="J158" s="33">
        <f t="shared" si="82"/>
        <v>0</v>
      </c>
      <c r="K158" s="33">
        <f t="shared" si="82"/>
        <v>0</v>
      </c>
      <c r="L158" s="33">
        <f t="shared" si="82"/>
        <v>0</v>
      </c>
      <c r="M158" s="33">
        <f t="shared" si="82"/>
        <v>0</v>
      </c>
      <c r="N158" s="33">
        <f t="shared" si="82"/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f>SUM(I158:R158)</f>
        <v>79892.12</v>
      </c>
      <c r="AG158" s="33"/>
      <c r="AH158" s="33"/>
      <c r="AI158" s="33"/>
      <c r="AJ158" s="33"/>
      <c r="AM158" s="44"/>
    </row>
    <row r="159" spans="1:48" ht="56.25" x14ac:dyDescent="0.25">
      <c r="A159" s="172"/>
      <c r="B159" s="173"/>
      <c r="C159" s="151" t="s">
        <v>178</v>
      </c>
      <c r="D159" s="168"/>
      <c r="E159" s="166"/>
      <c r="F159" s="165"/>
      <c r="G159" s="142" t="s">
        <v>244</v>
      </c>
      <c r="H159" s="178"/>
      <c r="I159" s="33">
        <v>48762.01</v>
      </c>
      <c r="J159" s="33">
        <f t="shared" ref="J159:M161" si="83">J163+J167</f>
        <v>0</v>
      </c>
      <c r="K159" s="33">
        <f t="shared" si="83"/>
        <v>0</v>
      </c>
      <c r="L159" s="33">
        <f t="shared" si="83"/>
        <v>0</v>
      </c>
      <c r="M159" s="33">
        <f t="shared" si="83"/>
        <v>0</v>
      </c>
      <c r="N159" s="33">
        <f>N163+N167</f>
        <v>0</v>
      </c>
      <c r="O159" s="33">
        <v>0</v>
      </c>
      <c r="P159" s="33">
        <v>0</v>
      </c>
      <c r="Q159" s="33">
        <v>0</v>
      </c>
      <c r="R159" s="33">
        <v>0</v>
      </c>
      <c r="S159" s="33">
        <f>SUM(I159:R159)</f>
        <v>48762.01</v>
      </c>
      <c r="AG159" s="33"/>
      <c r="AH159" s="33"/>
      <c r="AI159" s="33"/>
      <c r="AJ159" s="33"/>
      <c r="AM159" s="44"/>
    </row>
    <row r="160" spans="1:48" ht="37.5" x14ac:dyDescent="0.25">
      <c r="A160" s="172"/>
      <c r="B160" s="173"/>
      <c r="C160" s="151" t="s">
        <v>179</v>
      </c>
      <c r="D160" s="168"/>
      <c r="E160" s="166"/>
      <c r="F160" s="165"/>
      <c r="G160" s="142" t="s">
        <v>244</v>
      </c>
      <c r="H160" s="178"/>
      <c r="I160" s="33">
        <v>30026.18</v>
      </c>
      <c r="J160" s="33">
        <f t="shared" si="83"/>
        <v>0</v>
      </c>
      <c r="K160" s="33">
        <f t="shared" si="83"/>
        <v>0</v>
      </c>
      <c r="L160" s="33">
        <f t="shared" si="83"/>
        <v>0</v>
      </c>
      <c r="M160" s="33">
        <f t="shared" si="83"/>
        <v>0</v>
      </c>
      <c r="N160" s="33">
        <f>N164+N168</f>
        <v>0</v>
      </c>
      <c r="O160" s="33">
        <v>0</v>
      </c>
      <c r="P160" s="33">
        <v>0</v>
      </c>
      <c r="Q160" s="33">
        <v>0</v>
      </c>
      <c r="R160" s="33">
        <v>0</v>
      </c>
      <c r="S160" s="33">
        <f>SUM(I160:R160)</f>
        <v>30026.18</v>
      </c>
      <c r="AG160" s="33"/>
      <c r="AH160" s="33"/>
      <c r="AI160" s="33"/>
      <c r="AJ160" s="33"/>
      <c r="AM160" s="44"/>
    </row>
    <row r="161" spans="1:48" ht="37.5" x14ac:dyDescent="0.25">
      <c r="A161" s="172"/>
      <c r="B161" s="173"/>
      <c r="C161" s="151" t="s">
        <v>37</v>
      </c>
      <c r="D161" s="168"/>
      <c r="E161" s="166"/>
      <c r="F161" s="165"/>
      <c r="G161" s="142" t="s">
        <v>244</v>
      </c>
      <c r="H161" s="178"/>
      <c r="I161" s="33">
        <v>1103.93</v>
      </c>
      <c r="J161" s="33">
        <f t="shared" si="83"/>
        <v>0</v>
      </c>
      <c r="K161" s="33">
        <f t="shared" si="83"/>
        <v>0</v>
      </c>
      <c r="L161" s="33">
        <f t="shared" si="83"/>
        <v>0</v>
      </c>
      <c r="M161" s="33">
        <f t="shared" si="83"/>
        <v>0</v>
      </c>
      <c r="N161" s="33">
        <f>N165+N169</f>
        <v>0</v>
      </c>
      <c r="O161" s="33">
        <v>0</v>
      </c>
      <c r="P161" s="33">
        <v>0</v>
      </c>
      <c r="Q161" s="33">
        <v>0</v>
      </c>
      <c r="R161" s="33">
        <v>0</v>
      </c>
      <c r="S161" s="33">
        <f>SUM(I161:R161)</f>
        <v>1103.93</v>
      </c>
      <c r="AG161" s="33"/>
      <c r="AH161" s="33"/>
      <c r="AI161" s="33"/>
      <c r="AJ161" s="33"/>
      <c r="AM161" s="44"/>
    </row>
    <row r="162" spans="1:48" ht="41.25" hidden="1" customHeight="1" x14ac:dyDescent="0.25">
      <c r="A162" s="172"/>
      <c r="B162" s="173"/>
      <c r="C162" s="151" t="s">
        <v>186</v>
      </c>
      <c r="D162" s="168"/>
      <c r="E162" s="166"/>
      <c r="F162" s="165"/>
      <c r="G162" s="142" t="s">
        <v>244</v>
      </c>
      <c r="H162" s="166">
        <v>631</v>
      </c>
      <c r="I162" s="33">
        <f t="shared" ref="I162:N162" si="84">I163+I164+I165</f>
        <v>0</v>
      </c>
      <c r="J162" s="33">
        <f t="shared" si="84"/>
        <v>0</v>
      </c>
      <c r="K162" s="33">
        <f t="shared" si="84"/>
        <v>0</v>
      </c>
      <c r="L162" s="33">
        <f t="shared" si="84"/>
        <v>0</v>
      </c>
      <c r="M162" s="33">
        <f t="shared" si="84"/>
        <v>0</v>
      </c>
      <c r="N162" s="33">
        <f t="shared" si="84"/>
        <v>0</v>
      </c>
      <c r="O162" s="33"/>
      <c r="P162" s="33"/>
      <c r="Q162" s="33"/>
      <c r="R162" s="33"/>
      <c r="S162" s="33">
        <f t="shared" si="63"/>
        <v>0</v>
      </c>
      <c r="AG162" s="33"/>
      <c r="AH162" s="33"/>
      <c r="AI162" s="33"/>
      <c r="AJ162" s="33"/>
      <c r="AM162" s="44"/>
    </row>
    <row r="163" spans="1:48" ht="27" hidden="1" customHeight="1" x14ac:dyDescent="0.25">
      <c r="A163" s="172"/>
      <c r="B163" s="173"/>
      <c r="C163" s="151" t="s">
        <v>178</v>
      </c>
      <c r="D163" s="168"/>
      <c r="E163" s="166"/>
      <c r="F163" s="165"/>
      <c r="G163" s="142" t="s">
        <v>244</v>
      </c>
      <c r="H163" s="166"/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/>
      <c r="P163" s="33"/>
      <c r="Q163" s="33"/>
      <c r="R163" s="33"/>
      <c r="S163" s="33">
        <f t="shared" si="63"/>
        <v>0</v>
      </c>
      <c r="AG163" s="33"/>
      <c r="AH163" s="33"/>
      <c r="AI163" s="33"/>
      <c r="AJ163" s="33"/>
      <c r="AM163" s="44"/>
    </row>
    <row r="164" spans="1:48" ht="27" hidden="1" customHeight="1" x14ac:dyDescent="0.25">
      <c r="A164" s="172"/>
      <c r="B164" s="173"/>
      <c r="C164" s="151" t="s">
        <v>179</v>
      </c>
      <c r="D164" s="168"/>
      <c r="E164" s="166"/>
      <c r="F164" s="165"/>
      <c r="G164" s="142" t="s">
        <v>244</v>
      </c>
      <c r="H164" s="166"/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/>
      <c r="P164" s="33"/>
      <c r="Q164" s="33"/>
      <c r="R164" s="33"/>
      <c r="S164" s="33">
        <f t="shared" si="63"/>
        <v>0</v>
      </c>
      <c r="AG164" s="33"/>
      <c r="AH164" s="33"/>
      <c r="AI164" s="33"/>
      <c r="AJ164" s="33"/>
      <c r="AM164" s="44"/>
    </row>
    <row r="165" spans="1:48" ht="27" hidden="1" customHeight="1" x14ac:dyDescent="0.25">
      <c r="A165" s="172"/>
      <c r="B165" s="173"/>
      <c r="C165" s="151" t="s">
        <v>37</v>
      </c>
      <c r="D165" s="168"/>
      <c r="E165" s="166"/>
      <c r="F165" s="165"/>
      <c r="G165" s="142" t="s">
        <v>244</v>
      </c>
      <c r="H165" s="166"/>
      <c r="I165" s="33">
        <v>0</v>
      </c>
      <c r="J165" s="33">
        <v>0</v>
      </c>
      <c r="K165" s="33"/>
      <c r="L165" s="33"/>
      <c r="M165" s="33"/>
      <c r="N165" s="33"/>
      <c r="O165" s="33"/>
      <c r="P165" s="33"/>
      <c r="Q165" s="33"/>
      <c r="R165" s="33"/>
      <c r="S165" s="33">
        <f t="shared" si="63"/>
        <v>0</v>
      </c>
      <c r="AG165" s="33"/>
      <c r="AH165" s="33"/>
      <c r="AI165" s="33"/>
      <c r="AJ165" s="33"/>
      <c r="AM165" s="44"/>
    </row>
    <row r="166" spans="1:48" ht="36" hidden="1" customHeight="1" x14ac:dyDescent="0.25">
      <c r="A166" s="172"/>
      <c r="B166" s="173"/>
      <c r="C166" s="151" t="s">
        <v>186</v>
      </c>
      <c r="D166" s="168"/>
      <c r="E166" s="166"/>
      <c r="F166" s="165"/>
      <c r="G166" s="142" t="s">
        <v>244</v>
      </c>
      <c r="H166" s="166">
        <v>811</v>
      </c>
      <c r="I166" s="33">
        <f t="shared" ref="I166:N166" si="85">I167+I168+I169</f>
        <v>79892.12</v>
      </c>
      <c r="J166" s="33">
        <f t="shared" si="85"/>
        <v>0</v>
      </c>
      <c r="K166" s="33">
        <f t="shared" si="85"/>
        <v>0</v>
      </c>
      <c r="L166" s="33">
        <f t="shared" si="85"/>
        <v>0</v>
      </c>
      <c r="M166" s="33">
        <f t="shared" si="85"/>
        <v>0</v>
      </c>
      <c r="N166" s="33">
        <f t="shared" si="85"/>
        <v>0</v>
      </c>
      <c r="O166" s="33"/>
      <c r="P166" s="33"/>
      <c r="Q166" s="33"/>
      <c r="R166" s="33"/>
      <c r="S166" s="33">
        <f t="shared" si="63"/>
        <v>79892.12</v>
      </c>
      <c r="AG166" s="33"/>
      <c r="AH166" s="33"/>
      <c r="AI166" s="33"/>
      <c r="AJ166" s="33"/>
      <c r="AM166" s="44"/>
    </row>
    <row r="167" spans="1:48" ht="27" hidden="1" customHeight="1" x14ac:dyDescent="0.25">
      <c r="A167" s="172"/>
      <c r="B167" s="173"/>
      <c r="C167" s="151" t="s">
        <v>178</v>
      </c>
      <c r="D167" s="168"/>
      <c r="E167" s="166"/>
      <c r="F167" s="165"/>
      <c r="G167" s="142" t="s">
        <v>244</v>
      </c>
      <c r="H167" s="166"/>
      <c r="I167" s="33">
        <v>48762.01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3"/>
      <c r="P167" s="33"/>
      <c r="Q167" s="33"/>
      <c r="R167" s="33"/>
      <c r="S167" s="33">
        <f t="shared" si="63"/>
        <v>48762.01</v>
      </c>
      <c r="AG167" s="33"/>
      <c r="AH167" s="33"/>
      <c r="AI167" s="33"/>
      <c r="AJ167" s="33"/>
      <c r="AM167" s="44"/>
    </row>
    <row r="168" spans="1:48" ht="27" hidden="1" customHeight="1" x14ac:dyDescent="0.25">
      <c r="A168" s="172"/>
      <c r="B168" s="173"/>
      <c r="C168" s="151" t="s">
        <v>179</v>
      </c>
      <c r="D168" s="168"/>
      <c r="E168" s="166"/>
      <c r="F168" s="165"/>
      <c r="G168" s="142" t="s">
        <v>244</v>
      </c>
      <c r="H168" s="166"/>
      <c r="I168" s="33">
        <v>30026.18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  <c r="O168" s="33"/>
      <c r="P168" s="33"/>
      <c r="Q168" s="33"/>
      <c r="R168" s="33"/>
      <c r="S168" s="33">
        <f t="shared" si="63"/>
        <v>30026.18</v>
      </c>
      <c r="AG168" s="33"/>
      <c r="AH168" s="33"/>
      <c r="AI168" s="33"/>
      <c r="AJ168" s="33"/>
      <c r="AM168" s="44"/>
    </row>
    <row r="169" spans="1:48" ht="27" hidden="1" customHeight="1" x14ac:dyDescent="0.25">
      <c r="A169" s="172"/>
      <c r="B169" s="173"/>
      <c r="C169" s="151" t="s">
        <v>37</v>
      </c>
      <c r="D169" s="168"/>
      <c r="E169" s="166"/>
      <c r="F169" s="165"/>
      <c r="G169" s="142" t="s">
        <v>244</v>
      </c>
      <c r="H169" s="166"/>
      <c r="I169" s="33">
        <v>1103.93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O169" s="33"/>
      <c r="P169" s="33"/>
      <c r="Q169" s="33"/>
      <c r="R169" s="33"/>
      <c r="S169" s="33">
        <f t="shared" si="63"/>
        <v>1103.93</v>
      </c>
      <c r="AG169" s="33"/>
      <c r="AH169" s="33"/>
      <c r="AI169" s="33"/>
      <c r="AJ169" s="33"/>
      <c r="AM169" s="44"/>
    </row>
    <row r="170" spans="1:48" x14ac:dyDescent="0.25">
      <c r="A170" s="172"/>
      <c r="B170" s="173"/>
      <c r="C170" s="151" t="s">
        <v>186</v>
      </c>
      <c r="D170" s="168" t="s">
        <v>28</v>
      </c>
      <c r="E170" s="166">
        <v>934</v>
      </c>
      <c r="F170" s="165" t="s">
        <v>60</v>
      </c>
      <c r="G170" s="142" t="s">
        <v>244</v>
      </c>
      <c r="H170" s="166" t="s">
        <v>262</v>
      </c>
      <c r="I170" s="20">
        <f t="shared" ref="I170:N170" si="86">I171+I172+I173</f>
        <v>22454.21</v>
      </c>
      <c r="J170" s="33">
        <f t="shared" si="86"/>
        <v>0</v>
      </c>
      <c r="K170" s="33">
        <f t="shared" si="86"/>
        <v>0</v>
      </c>
      <c r="L170" s="33">
        <f t="shared" si="86"/>
        <v>0</v>
      </c>
      <c r="M170" s="33">
        <f t="shared" si="86"/>
        <v>0</v>
      </c>
      <c r="N170" s="33">
        <f t="shared" si="86"/>
        <v>0</v>
      </c>
      <c r="O170" s="33">
        <v>0</v>
      </c>
      <c r="P170" s="33">
        <v>0</v>
      </c>
      <c r="Q170" s="33">
        <v>0</v>
      </c>
      <c r="R170" s="33">
        <v>0</v>
      </c>
      <c r="S170" s="33">
        <f>SUM(I170:R170)</f>
        <v>22454.21</v>
      </c>
      <c r="AG170" s="33"/>
      <c r="AH170" s="33"/>
      <c r="AI170" s="33"/>
      <c r="AJ170" s="33"/>
      <c r="AM170" s="44"/>
    </row>
    <row r="171" spans="1:48" ht="56.25" x14ac:dyDescent="0.25">
      <c r="A171" s="172"/>
      <c r="B171" s="173"/>
      <c r="C171" s="151" t="s">
        <v>178</v>
      </c>
      <c r="D171" s="168"/>
      <c r="E171" s="166"/>
      <c r="F171" s="165"/>
      <c r="G171" s="142" t="s">
        <v>244</v>
      </c>
      <c r="H171" s="178"/>
      <c r="I171" s="33">
        <f>13730.52-0.01</f>
        <v>13730.51</v>
      </c>
      <c r="J171" s="33">
        <f t="shared" ref="J171:N173" si="87">J175+J179</f>
        <v>0</v>
      </c>
      <c r="K171" s="33">
        <f t="shared" si="87"/>
        <v>0</v>
      </c>
      <c r="L171" s="33">
        <f t="shared" si="87"/>
        <v>0</v>
      </c>
      <c r="M171" s="33">
        <f t="shared" si="87"/>
        <v>0</v>
      </c>
      <c r="N171" s="33">
        <f t="shared" si="87"/>
        <v>0</v>
      </c>
      <c r="O171" s="33">
        <v>0</v>
      </c>
      <c r="P171" s="33">
        <v>0</v>
      </c>
      <c r="Q171" s="33">
        <v>0</v>
      </c>
      <c r="R171" s="33">
        <v>0</v>
      </c>
      <c r="S171" s="33">
        <f>SUM(I171:R171)</f>
        <v>13730.51</v>
      </c>
      <c r="AG171" s="33"/>
      <c r="AH171" s="33"/>
      <c r="AI171" s="33"/>
      <c r="AJ171" s="33"/>
      <c r="AM171" s="44"/>
    </row>
    <row r="172" spans="1:48" ht="37.5" x14ac:dyDescent="0.25">
      <c r="A172" s="172"/>
      <c r="B172" s="173"/>
      <c r="C172" s="151" t="s">
        <v>179</v>
      </c>
      <c r="D172" s="168"/>
      <c r="E172" s="166"/>
      <c r="F172" s="165"/>
      <c r="G172" s="142" t="s">
        <v>244</v>
      </c>
      <c r="H172" s="178"/>
      <c r="I172" s="33">
        <v>8454.84</v>
      </c>
      <c r="J172" s="33">
        <f t="shared" si="87"/>
        <v>0</v>
      </c>
      <c r="K172" s="33">
        <f t="shared" si="87"/>
        <v>0</v>
      </c>
      <c r="L172" s="33">
        <f t="shared" si="87"/>
        <v>0</v>
      </c>
      <c r="M172" s="33">
        <f t="shared" si="87"/>
        <v>0</v>
      </c>
      <c r="N172" s="33">
        <f t="shared" si="87"/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f>SUM(I172:R172)</f>
        <v>8454.84</v>
      </c>
      <c r="AG172" s="33"/>
      <c r="AH172" s="33"/>
      <c r="AI172" s="33"/>
      <c r="AJ172" s="33"/>
      <c r="AM172" s="44"/>
    </row>
    <row r="173" spans="1:48" ht="37.5" x14ac:dyDescent="0.25">
      <c r="A173" s="172"/>
      <c r="B173" s="173"/>
      <c r="C173" s="151" t="s">
        <v>37</v>
      </c>
      <c r="D173" s="168"/>
      <c r="E173" s="166"/>
      <c r="F173" s="165"/>
      <c r="G173" s="142" t="s">
        <v>244</v>
      </c>
      <c r="H173" s="178"/>
      <c r="I173" s="33">
        <v>268.86</v>
      </c>
      <c r="J173" s="33">
        <f t="shared" si="87"/>
        <v>0</v>
      </c>
      <c r="K173" s="33">
        <f t="shared" si="87"/>
        <v>0</v>
      </c>
      <c r="L173" s="33">
        <f t="shared" si="87"/>
        <v>0</v>
      </c>
      <c r="M173" s="33">
        <f t="shared" si="87"/>
        <v>0</v>
      </c>
      <c r="N173" s="33">
        <f t="shared" si="87"/>
        <v>0</v>
      </c>
      <c r="O173" s="33">
        <v>0</v>
      </c>
      <c r="P173" s="33">
        <v>0</v>
      </c>
      <c r="Q173" s="33">
        <v>0</v>
      </c>
      <c r="R173" s="33">
        <v>0</v>
      </c>
      <c r="S173" s="33">
        <f>SUM(I173:R173)</f>
        <v>268.86</v>
      </c>
      <c r="AG173" s="33"/>
      <c r="AH173" s="33"/>
      <c r="AI173" s="33"/>
      <c r="AJ173" s="33"/>
      <c r="AM173" s="44"/>
    </row>
    <row r="174" spans="1:48" ht="38.25" hidden="1" customHeight="1" x14ac:dyDescent="0.25">
      <c r="A174" s="172"/>
      <c r="B174" s="173"/>
      <c r="C174" s="151" t="s">
        <v>186</v>
      </c>
      <c r="D174" s="168"/>
      <c r="E174" s="166"/>
      <c r="F174" s="165"/>
      <c r="G174" s="142" t="s">
        <v>244</v>
      </c>
      <c r="H174" s="166">
        <v>631</v>
      </c>
      <c r="I174" s="33">
        <f t="shared" ref="I174:N174" si="88">I175+I176+I177</f>
        <v>16809.03</v>
      </c>
      <c r="J174" s="33">
        <f t="shared" si="88"/>
        <v>0</v>
      </c>
      <c r="K174" s="33">
        <f t="shared" si="88"/>
        <v>0</v>
      </c>
      <c r="L174" s="33">
        <f t="shared" si="88"/>
        <v>0</v>
      </c>
      <c r="M174" s="33">
        <f t="shared" si="88"/>
        <v>0</v>
      </c>
      <c r="N174" s="33">
        <f t="shared" si="88"/>
        <v>0</v>
      </c>
      <c r="O174" s="33"/>
      <c r="P174" s="33"/>
      <c r="Q174" s="33"/>
      <c r="R174" s="33"/>
      <c r="S174" s="33">
        <f t="shared" ref="S174:S193" si="89">SUM(I174:Q174)</f>
        <v>16809.03</v>
      </c>
      <c r="AG174" s="33"/>
      <c r="AH174" s="33"/>
      <c r="AI174" s="33"/>
      <c r="AJ174" s="33"/>
      <c r="AM174" s="44"/>
      <c r="AV174" s="54"/>
    </row>
    <row r="175" spans="1:48" ht="22.5" hidden="1" customHeight="1" x14ac:dyDescent="0.25">
      <c r="A175" s="172"/>
      <c r="B175" s="173"/>
      <c r="C175" s="151" t="s">
        <v>178</v>
      </c>
      <c r="D175" s="168"/>
      <c r="E175" s="166"/>
      <c r="F175" s="165"/>
      <c r="G175" s="142" t="s">
        <v>244</v>
      </c>
      <c r="H175" s="166"/>
      <c r="I175" s="33">
        <v>10403.11</v>
      </c>
      <c r="J175" s="33">
        <v>0</v>
      </c>
      <c r="K175" s="33">
        <v>0</v>
      </c>
      <c r="L175" s="33">
        <v>0</v>
      </c>
      <c r="M175" s="33">
        <v>0</v>
      </c>
      <c r="N175" s="33">
        <v>0</v>
      </c>
      <c r="O175" s="33"/>
      <c r="P175" s="33"/>
      <c r="Q175" s="33"/>
      <c r="R175" s="33"/>
      <c r="S175" s="33">
        <f t="shared" si="89"/>
        <v>10403.11</v>
      </c>
      <c r="AG175" s="33"/>
      <c r="AH175" s="33"/>
      <c r="AI175" s="33"/>
      <c r="AJ175" s="33"/>
      <c r="AM175" s="44"/>
      <c r="AV175" s="54"/>
    </row>
    <row r="176" spans="1:48" ht="22.5" hidden="1" customHeight="1" x14ac:dyDescent="0.25">
      <c r="A176" s="172"/>
      <c r="B176" s="173"/>
      <c r="C176" s="151" t="s">
        <v>179</v>
      </c>
      <c r="D176" s="168"/>
      <c r="E176" s="166"/>
      <c r="F176" s="165"/>
      <c r="G176" s="142" t="s">
        <v>244</v>
      </c>
      <c r="H176" s="166"/>
      <c r="I176" s="33">
        <v>6405.92</v>
      </c>
      <c r="J176" s="33">
        <v>0</v>
      </c>
      <c r="K176" s="33">
        <v>0</v>
      </c>
      <c r="L176" s="33">
        <v>0</v>
      </c>
      <c r="M176" s="33">
        <v>0</v>
      </c>
      <c r="N176" s="33">
        <v>0</v>
      </c>
      <c r="O176" s="33"/>
      <c r="P176" s="33"/>
      <c r="Q176" s="33"/>
      <c r="R176" s="33"/>
      <c r="S176" s="33">
        <f t="shared" si="89"/>
        <v>6405.92</v>
      </c>
      <c r="AG176" s="33"/>
      <c r="AH176" s="33"/>
      <c r="AI176" s="33"/>
      <c r="AJ176" s="33"/>
      <c r="AM176" s="44"/>
      <c r="AV176" s="54"/>
    </row>
    <row r="177" spans="1:48" ht="22.5" hidden="1" customHeight="1" x14ac:dyDescent="0.25">
      <c r="A177" s="172"/>
      <c r="B177" s="173"/>
      <c r="C177" s="151" t="s">
        <v>37</v>
      </c>
      <c r="D177" s="168"/>
      <c r="E177" s="166"/>
      <c r="F177" s="165"/>
      <c r="G177" s="142" t="s">
        <v>244</v>
      </c>
      <c r="H177" s="166"/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v>0</v>
      </c>
      <c r="O177" s="33"/>
      <c r="P177" s="33"/>
      <c r="Q177" s="33"/>
      <c r="R177" s="33"/>
      <c r="S177" s="33">
        <f t="shared" si="89"/>
        <v>0</v>
      </c>
      <c r="AG177" s="33"/>
      <c r="AH177" s="33"/>
      <c r="AI177" s="33"/>
      <c r="AJ177" s="33"/>
      <c r="AM177" s="44"/>
      <c r="AV177" s="54"/>
    </row>
    <row r="178" spans="1:48" ht="40.5" hidden="1" customHeight="1" x14ac:dyDescent="0.25">
      <c r="A178" s="172"/>
      <c r="B178" s="173"/>
      <c r="C178" s="151" t="s">
        <v>186</v>
      </c>
      <c r="D178" s="168"/>
      <c r="E178" s="166"/>
      <c r="F178" s="165"/>
      <c r="G178" s="142" t="s">
        <v>244</v>
      </c>
      <c r="H178" s="166">
        <v>811</v>
      </c>
      <c r="I178" s="33">
        <f t="shared" ref="I178:N178" si="90">I179+I180+I181</f>
        <v>5645.1799999999994</v>
      </c>
      <c r="J178" s="33">
        <f t="shared" si="90"/>
        <v>0</v>
      </c>
      <c r="K178" s="33">
        <f t="shared" si="90"/>
        <v>0</v>
      </c>
      <c r="L178" s="33">
        <f t="shared" si="90"/>
        <v>0</v>
      </c>
      <c r="M178" s="33">
        <f t="shared" si="90"/>
        <v>0</v>
      </c>
      <c r="N178" s="33">
        <f t="shared" si="90"/>
        <v>0</v>
      </c>
      <c r="O178" s="33"/>
      <c r="P178" s="33"/>
      <c r="Q178" s="33"/>
      <c r="R178" s="33"/>
      <c r="S178" s="33">
        <f t="shared" si="89"/>
        <v>5645.1799999999994</v>
      </c>
      <c r="AG178" s="33"/>
      <c r="AH178" s="33"/>
      <c r="AI178" s="33"/>
      <c r="AJ178" s="33"/>
      <c r="AM178" s="44"/>
      <c r="AV178" s="44">
        <f>I178+I174</f>
        <v>22454.21</v>
      </c>
    </row>
    <row r="179" spans="1:48" ht="22.5" hidden="1" customHeight="1" x14ac:dyDescent="0.25">
      <c r="A179" s="172"/>
      <c r="B179" s="173"/>
      <c r="C179" s="151" t="s">
        <v>178</v>
      </c>
      <c r="D179" s="168"/>
      <c r="E179" s="166"/>
      <c r="F179" s="165"/>
      <c r="G179" s="142" t="s">
        <v>244</v>
      </c>
      <c r="H179" s="166"/>
      <c r="I179" s="33">
        <v>3327.41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/>
      <c r="P179" s="33"/>
      <c r="Q179" s="33"/>
      <c r="R179" s="33"/>
      <c r="S179" s="33">
        <f t="shared" si="89"/>
        <v>3327.41</v>
      </c>
      <c r="AG179" s="33"/>
      <c r="AH179" s="33"/>
      <c r="AI179" s="33"/>
      <c r="AJ179" s="33"/>
      <c r="AM179" s="44"/>
      <c r="AV179" s="44"/>
    </row>
    <row r="180" spans="1:48" ht="22.5" hidden="1" customHeight="1" x14ac:dyDescent="0.25">
      <c r="A180" s="172"/>
      <c r="B180" s="173"/>
      <c r="C180" s="151" t="s">
        <v>179</v>
      </c>
      <c r="D180" s="168"/>
      <c r="E180" s="166"/>
      <c r="F180" s="165"/>
      <c r="G180" s="142" t="s">
        <v>244</v>
      </c>
      <c r="H180" s="166"/>
      <c r="I180" s="33">
        <v>2048.91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/>
      <c r="P180" s="33"/>
      <c r="Q180" s="33"/>
      <c r="R180" s="33"/>
      <c r="S180" s="33">
        <f t="shared" si="89"/>
        <v>2048.91</v>
      </c>
      <c r="AG180" s="33"/>
      <c r="AH180" s="33"/>
      <c r="AI180" s="33"/>
      <c r="AJ180" s="33"/>
      <c r="AM180" s="44"/>
      <c r="AV180" s="44">
        <f>I180+I176</f>
        <v>8454.83</v>
      </c>
    </row>
    <row r="181" spans="1:48" ht="22.5" hidden="1" customHeight="1" x14ac:dyDescent="0.25">
      <c r="A181" s="172"/>
      <c r="B181" s="173"/>
      <c r="C181" s="151" t="s">
        <v>37</v>
      </c>
      <c r="D181" s="168"/>
      <c r="E181" s="166"/>
      <c r="F181" s="165"/>
      <c r="G181" s="142" t="s">
        <v>244</v>
      </c>
      <c r="H181" s="166"/>
      <c r="I181" s="33">
        <v>268.86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/>
      <c r="P181" s="33"/>
      <c r="Q181" s="33"/>
      <c r="R181" s="33"/>
      <c r="S181" s="33">
        <f t="shared" si="89"/>
        <v>268.86</v>
      </c>
      <c r="AG181" s="33"/>
      <c r="AH181" s="33"/>
      <c r="AI181" s="33"/>
      <c r="AJ181" s="33"/>
      <c r="AM181" s="44"/>
      <c r="AV181" s="44">
        <f>I181+I177</f>
        <v>268.86</v>
      </c>
    </row>
    <row r="182" spans="1:48" x14ac:dyDescent="0.25">
      <c r="A182" s="172"/>
      <c r="B182" s="173"/>
      <c r="C182" s="151" t="s">
        <v>186</v>
      </c>
      <c r="D182" s="168" t="s">
        <v>29</v>
      </c>
      <c r="E182" s="166">
        <v>937</v>
      </c>
      <c r="F182" s="165" t="s">
        <v>60</v>
      </c>
      <c r="G182" s="142" t="s">
        <v>244</v>
      </c>
      <c r="H182" s="166">
        <v>810</v>
      </c>
      <c r="I182" s="20">
        <f t="shared" ref="I182:N182" si="91">I183+I184+I185</f>
        <v>644.77</v>
      </c>
      <c r="J182" s="33">
        <f t="shared" si="91"/>
        <v>0</v>
      </c>
      <c r="K182" s="33">
        <f t="shared" si="91"/>
        <v>0</v>
      </c>
      <c r="L182" s="33">
        <f t="shared" si="91"/>
        <v>0</v>
      </c>
      <c r="M182" s="33">
        <f t="shared" si="91"/>
        <v>0</v>
      </c>
      <c r="N182" s="33">
        <f t="shared" si="91"/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f t="shared" si="89"/>
        <v>644.77</v>
      </c>
      <c r="AG182" s="33">
        <f>9280.29121+1003.73</f>
        <v>10284.021209999999</v>
      </c>
      <c r="AH182" s="33">
        <v>802.98</v>
      </c>
      <c r="AI182" s="33">
        <v>1204.48</v>
      </c>
      <c r="AJ182" s="33">
        <f>SUM(AG182:AI182)</f>
        <v>12291.481209999998</v>
      </c>
      <c r="AM182" s="44">
        <f>I182-AG182</f>
        <v>-9639.2512099999985</v>
      </c>
    </row>
    <row r="183" spans="1:48" ht="39" customHeight="1" x14ac:dyDescent="0.25">
      <c r="A183" s="172"/>
      <c r="B183" s="173"/>
      <c r="C183" s="151" t="s">
        <v>178</v>
      </c>
      <c r="D183" s="168"/>
      <c r="E183" s="166"/>
      <c r="F183" s="165"/>
      <c r="G183" s="142" t="s">
        <v>244</v>
      </c>
      <c r="H183" s="178"/>
      <c r="I183" s="33">
        <v>398.08</v>
      </c>
      <c r="J183" s="33">
        <f t="shared" ref="J183:N185" si="92">J187+J191</f>
        <v>0</v>
      </c>
      <c r="K183" s="33">
        <f t="shared" si="92"/>
        <v>0</v>
      </c>
      <c r="L183" s="33">
        <f t="shared" si="92"/>
        <v>0</v>
      </c>
      <c r="M183" s="33">
        <f t="shared" si="92"/>
        <v>0</v>
      </c>
      <c r="N183" s="33">
        <f t="shared" si="92"/>
        <v>0</v>
      </c>
      <c r="O183" s="33">
        <v>0</v>
      </c>
      <c r="P183" s="33">
        <v>0</v>
      </c>
      <c r="Q183" s="33">
        <v>0</v>
      </c>
      <c r="R183" s="33">
        <v>0</v>
      </c>
      <c r="S183" s="33">
        <f>SUM(I183:R183)</f>
        <v>398.08</v>
      </c>
      <c r="AG183" s="33"/>
      <c r="AH183" s="33"/>
      <c r="AI183" s="33"/>
      <c r="AJ183" s="33"/>
      <c r="AM183" s="44"/>
    </row>
    <row r="184" spans="1:48" ht="37.5" x14ac:dyDescent="0.25">
      <c r="A184" s="172"/>
      <c r="B184" s="173"/>
      <c r="C184" s="151" t="s">
        <v>179</v>
      </c>
      <c r="D184" s="168"/>
      <c r="E184" s="166"/>
      <c r="F184" s="165"/>
      <c r="G184" s="142" t="s">
        <v>244</v>
      </c>
      <c r="H184" s="178"/>
      <c r="I184" s="33">
        <v>245.13</v>
      </c>
      <c r="J184" s="33">
        <f t="shared" si="92"/>
        <v>0</v>
      </c>
      <c r="K184" s="33">
        <f t="shared" si="92"/>
        <v>0</v>
      </c>
      <c r="L184" s="33">
        <f t="shared" si="92"/>
        <v>0</v>
      </c>
      <c r="M184" s="33">
        <f t="shared" si="92"/>
        <v>0</v>
      </c>
      <c r="N184" s="33">
        <f t="shared" si="92"/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f>SUM(I184:R184)</f>
        <v>245.13</v>
      </c>
      <c r="AG184" s="33"/>
      <c r="AH184" s="33"/>
      <c r="AI184" s="33"/>
      <c r="AJ184" s="33"/>
      <c r="AM184" s="44"/>
    </row>
    <row r="185" spans="1:48" ht="37.5" x14ac:dyDescent="0.25">
      <c r="A185" s="172"/>
      <c r="B185" s="173"/>
      <c r="C185" s="151" t="s">
        <v>37</v>
      </c>
      <c r="D185" s="168"/>
      <c r="E185" s="166"/>
      <c r="F185" s="165"/>
      <c r="G185" s="142" t="s">
        <v>244</v>
      </c>
      <c r="H185" s="178"/>
      <c r="I185" s="33">
        <f>1.57-0.01</f>
        <v>1.56</v>
      </c>
      <c r="J185" s="33">
        <f t="shared" si="92"/>
        <v>0</v>
      </c>
      <c r="K185" s="33">
        <f t="shared" si="92"/>
        <v>0</v>
      </c>
      <c r="L185" s="33">
        <f t="shared" si="92"/>
        <v>0</v>
      </c>
      <c r="M185" s="33">
        <f t="shared" si="92"/>
        <v>0</v>
      </c>
      <c r="N185" s="33">
        <f t="shared" si="92"/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f>SUM(I185:R185)</f>
        <v>1.56</v>
      </c>
      <c r="AG185" s="33"/>
      <c r="AH185" s="33"/>
      <c r="AI185" s="33"/>
      <c r="AJ185" s="33"/>
      <c r="AM185" s="44"/>
    </row>
    <row r="186" spans="1:48" ht="24.75" hidden="1" customHeight="1" x14ac:dyDescent="0.25">
      <c r="A186" s="174"/>
      <c r="B186" s="177"/>
      <c r="C186" s="151" t="s">
        <v>186</v>
      </c>
      <c r="D186" s="168"/>
      <c r="E186" s="166"/>
      <c r="F186" s="165"/>
      <c r="G186" s="142" t="s">
        <v>244</v>
      </c>
      <c r="H186" s="166">
        <v>631</v>
      </c>
      <c r="I186" s="33">
        <f t="shared" ref="I186:N186" si="93">I187+I188+I189</f>
        <v>0</v>
      </c>
      <c r="J186" s="33">
        <f t="shared" si="93"/>
        <v>0</v>
      </c>
      <c r="K186" s="33">
        <f t="shared" si="93"/>
        <v>0</v>
      </c>
      <c r="L186" s="33">
        <f t="shared" si="93"/>
        <v>0</v>
      </c>
      <c r="M186" s="33">
        <f t="shared" si="93"/>
        <v>0</v>
      </c>
      <c r="N186" s="33">
        <f t="shared" si="93"/>
        <v>0</v>
      </c>
      <c r="O186" s="33"/>
      <c r="P186" s="33"/>
      <c r="Q186" s="33"/>
      <c r="R186" s="33"/>
      <c r="S186" s="33">
        <f t="shared" si="89"/>
        <v>0</v>
      </c>
      <c r="AG186" s="33"/>
      <c r="AH186" s="33"/>
      <c r="AI186" s="33"/>
      <c r="AJ186" s="33"/>
      <c r="AM186" s="44"/>
      <c r="AV186" s="54"/>
    </row>
    <row r="187" spans="1:48" ht="24.75" hidden="1" customHeight="1" x14ac:dyDescent="0.25">
      <c r="A187" s="174"/>
      <c r="B187" s="177"/>
      <c r="C187" s="151" t="s">
        <v>178</v>
      </c>
      <c r="D187" s="168"/>
      <c r="E187" s="166"/>
      <c r="F187" s="165"/>
      <c r="G187" s="142" t="s">
        <v>244</v>
      </c>
      <c r="H187" s="166"/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/>
      <c r="P187" s="33"/>
      <c r="Q187" s="33"/>
      <c r="R187" s="33"/>
      <c r="S187" s="33">
        <f t="shared" si="89"/>
        <v>0</v>
      </c>
      <c r="AG187" s="33"/>
      <c r="AH187" s="33"/>
      <c r="AI187" s="33"/>
      <c r="AJ187" s="33"/>
      <c r="AM187" s="44"/>
      <c r="AV187" s="54"/>
    </row>
    <row r="188" spans="1:48" ht="24.75" hidden="1" customHeight="1" x14ac:dyDescent="0.25">
      <c r="A188" s="174"/>
      <c r="B188" s="177"/>
      <c r="C188" s="151" t="s">
        <v>179</v>
      </c>
      <c r="D188" s="168"/>
      <c r="E188" s="166"/>
      <c r="F188" s="165"/>
      <c r="G188" s="142" t="s">
        <v>244</v>
      </c>
      <c r="H188" s="166"/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/>
      <c r="P188" s="33"/>
      <c r="Q188" s="33"/>
      <c r="R188" s="33"/>
      <c r="S188" s="33">
        <f t="shared" si="89"/>
        <v>0</v>
      </c>
      <c r="AG188" s="33"/>
      <c r="AH188" s="33"/>
      <c r="AI188" s="33"/>
      <c r="AJ188" s="33"/>
      <c r="AM188" s="44"/>
      <c r="AV188" s="54"/>
    </row>
    <row r="189" spans="1:48" ht="24.75" hidden="1" customHeight="1" x14ac:dyDescent="0.25">
      <c r="A189" s="174"/>
      <c r="B189" s="177"/>
      <c r="C189" s="151" t="s">
        <v>37</v>
      </c>
      <c r="D189" s="168"/>
      <c r="E189" s="166"/>
      <c r="F189" s="165"/>
      <c r="G189" s="142" t="s">
        <v>244</v>
      </c>
      <c r="H189" s="166"/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33"/>
      <c r="P189" s="33"/>
      <c r="Q189" s="33"/>
      <c r="R189" s="33"/>
      <c r="S189" s="33">
        <f t="shared" si="89"/>
        <v>0</v>
      </c>
      <c r="AG189" s="33"/>
      <c r="AH189" s="33"/>
      <c r="AI189" s="33"/>
      <c r="AJ189" s="33"/>
      <c r="AM189" s="44"/>
      <c r="AV189" s="54"/>
    </row>
    <row r="190" spans="1:48" ht="36" hidden="1" customHeight="1" x14ac:dyDescent="0.25">
      <c r="A190" s="174"/>
      <c r="B190" s="177"/>
      <c r="C190" s="151" t="s">
        <v>186</v>
      </c>
      <c r="D190" s="168"/>
      <c r="E190" s="166"/>
      <c r="F190" s="165"/>
      <c r="G190" s="142" t="s">
        <v>244</v>
      </c>
      <c r="H190" s="166">
        <v>811</v>
      </c>
      <c r="I190" s="33">
        <f t="shared" ref="I190:N190" si="94">I191+I192+I193</f>
        <v>644.77</v>
      </c>
      <c r="J190" s="33">
        <f t="shared" si="94"/>
        <v>0</v>
      </c>
      <c r="K190" s="33">
        <f t="shared" si="94"/>
        <v>0</v>
      </c>
      <c r="L190" s="33">
        <f t="shared" si="94"/>
        <v>0</v>
      </c>
      <c r="M190" s="33">
        <f t="shared" si="94"/>
        <v>0</v>
      </c>
      <c r="N190" s="33">
        <f t="shared" si="94"/>
        <v>0</v>
      </c>
      <c r="O190" s="33"/>
      <c r="P190" s="33"/>
      <c r="Q190" s="33"/>
      <c r="R190" s="33"/>
      <c r="S190" s="33">
        <f t="shared" si="89"/>
        <v>644.77</v>
      </c>
      <c r="AG190" s="33"/>
      <c r="AH190" s="33"/>
      <c r="AI190" s="33"/>
      <c r="AJ190" s="33"/>
      <c r="AM190" s="44"/>
      <c r="AV190" s="44">
        <f>I190+I187</f>
        <v>644.77</v>
      </c>
    </row>
    <row r="191" spans="1:48" ht="24.75" hidden="1" customHeight="1" x14ac:dyDescent="0.25">
      <c r="A191" s="174"/>
      <c r="B191" s="177"/>
      <c r="C191" s="151" t="s">
        <v>178</v>
      </c>
      <c r="D191" s="168"/>
      <c r="E191" s="166"/>
      <c r="F191" s="165"/>
      <c r="G191" s="142" t="s">
        <v>244</v>
      </c>
      <c r="H191" s="166"/>
      <c r="I191" s="33">
        <v>398.08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/>
      <c r="P191" s="33"/>
      <c r="Q191" s="33"/>
      <c r="R191" s="33"/>
      <c r="S191" s="33">
        <f t="shared" si="89"/>
        <v>398.08</v>
      </c>
      <c r="AG191" s="33"/>
      <c r="AH191" s="33"/>
      <c r="AI191" s="33"/>
      <c r="AJ191" s="33"/>
      <c r="AM191" s="44"/>
      <c r="AV191" s="44"/>
    </row>
    <row r="192" spans="1:48" ht="24.75" hidden="1" customHeight="1" x14ac:dyDescent="0.25">
      <c r="A192" s="174"/>
      <c r="B192" s="177"/>
      <c r="C192" s="151" t="s">
        <v>179</v>
      </c>
      <c r="D192" s="168"/>
      <c r="E192" s="166"/>
      <c r="F192" s="165"/>
      <c r="G192" s="142" t="s">
        <v>244</v>
      </c>
      <c r="H192" s="166"/>
      <c r="I192" s="33">
        <v>245.13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/>
      <c r="P192" s="33"/>
      <c r="Q192" s="33"/>
      <c r="R192" s="33"/>
      <c r="S192" s="33">
        <f t="shared" si="89"/>
        <v>245.13</v>
      </c>
      <c r="AG192" s="33"/>
      <c r="AH192" s="33"/>
      <c r="AI192" s="33"/>
      <c r="AJ192" s="33"/>
      <c r="AM192" s="44"/>
      <c r="AV192" s="44">
        <f>I192+I188</f>
        <v>245.13</v>
      </c>
    </row>
    <row r="193" spans="1:48" ht="24.75" hidden="1" customHeight="1" x14ac:dyDescent="0.25">
      <c r="A193" s="174"/>
      <c r="B193" s="177"/>
      <c r="C193" s="151" t="s">
        <v>37</v>
      </c>
      <c r="D193" s="168"/>
      <c r="E193" s="166"/>
      <c r="F193" s="165"/>
      <c r="G193" s="142" t="s">
        <v>244</v>
      </c>
      <c r="H193" s="166"/>
      <c r="I193" s="33">
        <v>1.56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/>
      <c r="P193" s="33"/>
      <c r="Q193" s="33"/>
      <c r="R193" s="33"/>
      <c r="S193" s="33">
        <f t="shared" si="89"/>
        <v>1.56</v>
      </c>
      <c r="AG193" s="33"/>
      <c r="AH193" s="33"/>
      <c r="AI193" s="33"/>
      <c r="AJ193" s="33"/>
      <c r="AM193" s="44"/>
      <c r="AV193" s="44">
        <f>I193+I189</f>
        <v>1.56</v>
      </c>
    </row>
    <row r="194" spans="1:48" ht="24.75" customHeight="1" x14ac:dyDescent="0.25">
      <c r="A194" s="190"/>
      <c r="B194" s="177"/>
      <c r="C194" s="173" t="s">
        <v>178</v>
      </c>
      <c r="D194" s="147" t="s">
        <v>10</v>
      </c>
      <c r="E194" s="142" t="s">
        <v>74</v>
      </c>
      <c r="F194" s="142" t="s">
        <v>74</v>
      </c>
      <c r="G194" s="142" t="s">
        <v>246</v>
      </c>
      <c r="H194" s="142" t="s">
        <v>74</v>
      </c>
      <c r="I194" s="33">
        <f>I308+I312</f>
        <v>0</v>
      </c>
      <c r="J194" s="33">
        <f>J195+J198</f>
        <v>385709.07999999996</v>
      </c>
      <c r="K194" s="33">
        <f>K195+K198+K197</f>
        <v>385850.19637000002</v>
      </c>
      <c r="L194" s="33">
        <f>L195+L198</f>
        <v>356992.70999999996</v>
      </c>
      <c r="M194" s="33">
        <f>M195+M198</f>
        <v>364251.54000000004</v>
      </c>
      <c r="N194" s="33">
        <f>N195+N198+N197</f>
        <v>363742.53</v>
      </c>
      <c r="O194" s="33">
        <f>O196+O198+O197</f>
        <v>338021.02</v>
      </c>
      <c r="P194" s="33">
        <f>P195+P198+P197</f>
        <v>0</v>
      </c>
      <c r="Q194" s="33">
        <f>Q195+Q198+Q197</f>
        <v>0</v>
      </c>
      <c r="R194" s="33">
        <v>0</v>
      </c>
      <c r="S194" s="33">
        <f>SUM(I194:R194)</f>
        <v>2194567.0763699999</v>
      </c>
      <c r="AG194" s="52"/>
      <c r="AH194" s="52"/>
      <c r="AI194" s="52"/>
      <c r="AJ194" s="52"/>
      <c r="AM194" s="44"/>
      <c r="AO194" s="35">
        <f>0.17+0.19+0.71+0.54+0.53+0.9</f>
        <v>3.0399999999999996</v>
      </c>
      <c r="AV194" s="44"/>
    </row>
    <row r="195" spans="1:48" ht="56.25" x14ac:dyDescent="0.25">
      <c r="A195" s="190"/>
      <c r="B195" s="177"/>
      <c r="C195" s="173"/>
      <c r="D195" s="140" t="s">
        <v>11</v>
      </c>
      <c r="E195" s="141">
        <v>915</v>
      </c>
      <c r="F195" s="142" t="s">
        <v>60</v>
      </c>
      <c r="G195" s="142" t="s">
        <v>246</v>
      </c>
      <c r="H195" s="142" t="s">
        <v>263</v>
      </c>
      <c r="I195" s="33">
        <f>I308</f>
        <v>0</v>
      </c>
      <c r="J195" s="33">
        <f>J264</f>
        <v>228408.1</v>
      </c>
      <c r="K195" s="33">
        <f>K268</f>
        <v>262201.40000000002</v>
      </c>
      <c r="L195" s="33">
        <f>L268</f>
        <v>255852.37</v>
      </c>
      <c r="M195" s="33">
        <f>M268</f>
        <v>262437.96000000002</v>
      </c>
      <c r="N195" s="33">
        <f>N268</f>
        <v>215793.16</v>
      </c>
      <c r="O195" s="33">
        <v>0</v>
      </c>
      <c r="P195" s="33">
        <f>P272</f>
        <v>0</v>
      </c>
      <c r="Q195" s="33">
        <f>Q272</f>
        <v>0</v>
      </c>
      <c r="R195" s="33">
        <v>0</v>
      </c>
      <c r="S195" s="33">
        <f>SUM(I195:R195)</f>
        <v>1224692.99</v>
      </c>
      <c r="AG195" s="52"/>
      <c r="AH195" s="52"/>
      <c r="AI195" s="52"/>
      <c r="AJ195" s="52"/>
      <c r="AM195" s="44"/>
      <c r="AO195" s="35">
        <f>0.19+0.62+0.88+0.2+0.16+0.23</f>
        <v>2.2799999999999998</v>
      </c>
      <c r="AV195" s="44"/>
    </row>
    <row r="196" spans="1:48" ht="56.25" x14ac:dyDescent="0.25">
      <c r="A196" s="190"/>
      <c r="B196" s="177"/>
      <c r="C196" s="173"/>
      <c r="D196" s="140" t="s">
        <v>321</v>
      </c>
      <c r="E196" s="141">
        <v>915</v>
      </c>
      <c r="F196" s="142" t="s">
        <v>60</v>
      </c>
      <c r="G196" s="142" t="s">
        <v>246</v>
      </c>
      <c r="H196" s="142" t="s">
        <v>263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f>O272</f>
        <v>217847</v>
      </c>
      <c r="P196" s="33">
        <v>0</v>
      </c>
      <c r="Q196" s="33">
        <v>0</v>
      </c>
      <c r="R196" s="33">
        <v>0</v>
      </c>
      <c r="S196" s="33">
        <f t="shared" ref="S196:S239" si="95">SUM(I196:R196)</f>
        <v>217847</v>
      </c>
      <c r="AG196" s="52"/>
      <c r="AH196" s="52"/>
      <c r="AI196" s="52"/>
      <c r="AJ196" s="52"/>
      <c r="AM196" s="44"/>
      <c r="AV196" s="44"/>
    </row>
    <row r="197" spans="1:48" ht="51" customHeight="1" x14ac:dyDescent="0.25">
      <c r="A197" s="190"/>
      <c r="B197" s="177"/>
      <c r="C197" s="173"/>
      <c r="D197" s="140" t="s">
        <v>261</v>
      </c>
      <c r="E197" s="141">
        <v>911</v>
      </c>
      <c r="F197" s="142" t="s">
        <v>60</v>
      </c>
      <c r="G197" s="142" t="s">
        <v>246</v>
      </c>
      <c r="H197" s="141">
        <v>620</v>
      </c>
      <c r="I197" s="33">
        <v>0</v>
      </c>
      <c r="J197" s="33">
        <v>0</v>
      </c>
      <c r="K197" s="33">
        <f t="shared" ref="K197:Q197" si="96">K276</f>
        <v>9072.5</v>
      </c>
      <c r="L197" s="33">
        <f t="shared" si="96"/>
        <v>0</v>
      </c>
      <c r="M197" s="33">
        <f t="shared" si="96"/>
        <v>0</v>
      </c>
      <c r="N197" s="33">
        <f t="shared" si="96"/>
        <v>38826.61</v>
      </c>
      <c r="O197" s="33">
        <f t="shared" si="96"/>
        <v>18767.71</v>
      </c>
      <c r="P197" s="33">
        <f t="shared" si="96"/>
        <v>0</v>
      </c>
      <c r="Q197" s="33">
        <f t="shared" si="96"/>
        <v>0</v>
      </c>
      <c r="R197" s="33">
        <v>0</v>
      </c>
      <c r="S197" s="33">
        <f t="shared" si="95"/>
        <v>66666.820000000007</v>
      </c>
      <c r="AG197" s="52"/>
      <c r="AH197" s="52"/>
      <c r="AI197" s="52"/>
      <c r="AJ197" s="52"/>
      <c r="AM197" s="44"/>
      <c r="AV197" s="44"/>
    </row>
    <row r="198" spans="1:48" ht="71.25" customHeight="1" x14ac:dyDescent="0.25">
      <c r="A198" s="190"/>
      <c r="B198" s="177"/>
      <c r="C198" s="173"/>
      <c r="D198" s="147" t="s">
        <v>13</v>
      </c>
      <c r="E198" s="142" t="s">
        <v>53</v>
      </c>
      <c r="F198" s="142" t="s">
        <v>60</v>
      </c>
      <c r="G198" s="142" t="s">
        <v>246</v>
      </c>
      <c r="H198" s="142" t="s">
        <v>74</v>
      </c>
      <c r="I198" s="33">
        <v>0</v>
      </c>
      <c r="J198" s="33">
        <f>J200+J201+J204+J205+J208+J211+J214</f>
        <v>157300.97999999998</v>
      </c>
      <c r="K198" s="33">
        <f>K200+K201+K204+K205+K208+K211+K214</f>
        <v>114576.29637000001</v>
      </c>
      <c r="L198" s="33">
        <f>L200+L201+L204+L205+L208+L211+L214</f>
        <v>101140.34</v>
      </c>
      <c r="M198" s="33">
        <f>M200+M201+M204+M205+M208+M211+M214</f>
        <v>101813.58</v>
      </c>
      <c r="N198" s="33">
        <f>N200+N201+N204+N205+N208+N211+N214</f>
        <v>109122.76000000001</v>
      </c>
      <c r="O198" s="33">
        <f>O280</f>
        <v>101406.30999999998</v>
      </c>
      <c r="P198" s="33">
        <f>P280</f>
        <v>0</v>
      </c>
      <c r="Q198" s="33">
        <f>Q280</f>
        <v>0</v>
      </c>
      <c r="R198" s="33">
        <v>0</v>
      </c>
      <c r="S198" s="33">
        <f t="shared" si="95"/>
        <v>685360.26636999997</v>
      </c>
      <c r="AG198" s="52"/>
      <c r="AH198" s="52"/>
      <c r="AI198" s="52"/>
      <c r="AJ198" s="52"/>
      <c r="AM198" s="44"/>
      <c r="AV198" s="44"/>
    </row>
    <row r="199" spans="1:48" ht="24.75" hidden="1" customHeight="1" x14ac:dyDescent="0.25">
      <c r="A199" s="190"/>
      <c r="B199" s="177"/>
      <c r="C199" s="173"/>
      <c r="D199" s="169" t="s">
        <v>23</v>
      </c>
      <c r="E199" s="166">
        <v>919</v>
      </c>
      <c r="F199" s="165" t="s">
        <v>60</v>
      </c>
      <c r="G199" s="142" t="s">
        <v>246</v>
      </c>
      <c r="H199" s="142" t="s">
        <v>245</v>
      </c>
      <c r="I199" s="33">
        <f>I320</f>
        <v>0</v>
      </c>
      <c r="J199" s="33">
        <f>0</f>
        <v>0</v>
      </c>
      <c r="K199" s="33">
        <f>0</f>
        <v>0</v>
      </c>
      <c r="L199" s="33">
        <f>0</f>
        <v>0</v>
      </c>
      <c r="M199" s="33">
        <f>0</f>
        <v>0</v>
      </c>
      <c r="N199" s="33">
        <f>0</f>
        <v>0</v>
      </c>
      <c r="O199" s="33"/>
      <c r="P199" s="33"/>
      <c r="Q199" s="33"/>
      <c r="R199" s="33"/>
      <c r="S199" s="33">
        <f t="shared" si="95"/>
        <v>0</v>
      </c>
      <c r="AG199" s="52"/>
      <c r="AH199" s="52"/>
      <c r="AI199" s="52"/>
      <c r="AJ199" s="52"/>
      <c r="AM199" s="44"/>
      <c r="AV199" s="44"/>
    </row>
    <row r="200" spans="1:48" ht="51.75" customHeight="1" x14ac:dyDescent="0.25">
      <c r="A200" s="190"/>
      <c r="B200" s="177"/>
      <c r="C200" s="173"/>
      <c r="D200" s="169"/>
      <c r="E200" s="166"/>
      <c r="F200" s="165"/>
      <c r="G200" s="142" t="s">
        <v>246</v>
      </c>
      <c r="H200" s="142" t="s">
        <v>262</v>
      </c>
      <c r="I200" s="33">
        <f>I324</f>
        <v>0</v>
      </c>
      <c r="J200" s="33">
        <f t="shared" ref="J200:Q200" si="97">J292</f>
        <v>18702.8</v>
      </c>
      <c r="K200" s="33">
        <f t="shared" si="97"/>
        <v>17592.510490000001</v>
      </c>
      <c r="L200" s="33">
        <f t="shared" si="97"/>
        <v>16070.13</v>
      </c>
      <c r="M200" s="33">
        <f t="shared" si="97"/>
        <v>16106.18</v>
      </c>
      <c r="N200" s="33">
        <f t="shared" si="97"/>
        <v>15286.76</v>
      </c>
      <c r="O200" s="33">
        <f t="shared" si="97"/>
        <v>14371.32</v>
      </c>
      <c r="P200" s="33">
        <f t="shared" si="97"/>
        <v>0</v>
      </c>
      <c r="Q200" s="33">
        <f t="shared" si="97"/>
        <v>0</v>
      </c>
      <c r="R200" s="33">
        <v>0</v>
      </c>
      <c r="S200" s="33">
        <f t="shared" si="95"/>
        <v>98129.700489999988</v>
      </c>
      <c r="AG200" s="52"/>
      <c r="AH200" s="52"/>
      <c r="AI200" s="52"/>
      <c r="AJ200" s="52"/>
      <c r="AM200" s="44"/>
      <c r="AV200" s="44"/>
    </row>
    <row r="201" spans="1:48" ht="51.75" customHeight="1" x14ac:dyDescent="0.25">
      <c r="A201" s="190"/>
      <c r="B201" s="177"/>
      <c r="C201" s="173"/>
      <c r="D201" s="169" t="s">
        <v>24</v>
      </c>
      <c r="E201" s="166">
        <v>922</v>
      </c>
      <c r="F201" s="165" t="s">
        <v>60</v>
      </c>
      <c r="G201" s="142" t="s">
        <v>246</v>
      </c>
      <c r="H201" s="142" t="s">
        <v>262</v>
      </c>
      <c r="I201" s="33">
        <f>I202+I203</f>
        <v>0</v>
      </c>
      <c r="J201" s="33">
        <f t="shared" ref="J201:P201" si="98">J296</f>
        <v>27937.73</v>
      </c>
      <c r="K201" s="33">
        <f t="shared" si="98"/>
        <v>14180.7</v>
      </c>
      <c r="L201" s="33">
        <f t="shared" si="98"/>
        <v>15454.15</v>
      </c>
      <c r="M201" s="33">
        <f t="shared" si="98"/>
        <v>15722.55</v>
      </c>
      <c r="N201" s="33">
        <f t="shared" si="98"/>
        <v>15443.9</v>
      </c>
      <c r="O201" s="33">
        <f t="shared" si="98"/>
        <v>15425.89</v>
      </c>
      <c r="P201" s="33">
        <f t="shared" si="98"/>
        <v>0</v>
      </c>
      <c r="Q201" s="33">
        <f>Q296</f>
        <v>0</v>
      </c>
      <c r="R201" s="33">
        <v>0</v>
      </c>
      <c r="S201" s="33">
        <f t="shared" si="95"/>
        <v>104164.92</v>
      </c>
      <c r="AG201" s="52"/>
      <c r="AH201" s="52"/>
      <c r="AI201" s="52"/>
      <c r="AJ201" s="52"/>
      <c r="AM201" s="44"/>
      <c r="AV201" s="44"/>
    </row>
    <row r="202" spans="1:48" ht="24.75" hidden="1" customHeight="1" x14ac:dyDescent="0.25">
      <c r="A202" s="190"/>
      <c r="B202" s="177"/>
      <c r="C202" s="173"/>
      <c r="D202" s="169"/>
      <c r="E202" s="166"/>
      <c r="F202" s="165"/>
      <c r="G202" s="142" t="s">
        <v>246</v>
      </c>
      <c r="H202" s="142" t="s">
        <v>235</v>
      </c>
      <c r="I202" s="33">
        <f>I332</f>
        <v>0</v>
      </c>
      <c r="J202" s="33"/>
      <c r="K202" s="33"/>
      <c r="L202" s="33">
        <f t="shared" ref="L202:Q202" si="99">L300</f>
        <v>0</v>
      </c>
      <c r="M202" s="33">
        <f t="shared" si="99"/>
        <v>0</v>
      </c>
      <c r="N202" s="33">
        <f t="shared" si="99"/>
        <v>0</v>
      </c>
      <c r="O202" s="33">
        <f t="shared" si="99"/>
        <v>0</v>
      </c>
      <c r="P202" s="33">
        <f t="shared" si="99"/>
        <v>0</v>
      </c>
      <c r="Q202" s="33">
        <f t="shared" si="99"/>
        <v>0</v>
      </c>
      <c r="R202" s="33"/>
      <c r="S202" s="33">
        <f t="shared" si="95"/>
        <v>0</v>
      </c>
      <c r="AG202" s="52"/>
      <c r="AH202" s="52"/>
      <c r="AI202" s="52"/>
      <c r="AJ202" s="52"/>
      <c r="AM202" s="44"/>
      <c r="AV202" s="44"/>
    </row>
    <row r="203" spans="1:48" ht="24.75" hidden="1" customHeight="1" x14ac:dyDescent="0.25">
      <c r="A203" s="190"/>
      <c r="B203" s="177"/>
      <c r="C203" s="173"/>
      <c r="D203" s="169"/>
      <c r="E203" s="166"/>
      <c r="F203" s="165"/>
      <c r="G203" s="142" t="s">
        <v>246</v>
      </c>
      <c r="H203" s="142" t="s">
        <v>234</v>
      </c>
      <c r="I203" s="33">
        <f>I336</f>
        <v>0</v>
      </c>
      <c r="J203" s="33"/>
      <c r="K203" s="33"/>
      <c r="L203" s="33"/>
      <c r="M203" s="33"/>
      <c r="N203" s="33"/>
      <c r="O203" s="33"/>
      <c r="P203" s="33"/>
      <c r="Q203" s="33"/>
      <c r="R203" s="33"/>
      <c r="S203" s="33">
        <f t="shared" si="95"/>
        <v>0</v>
      </c>
      <c r="AG203" s="52"/>
      <c r="AH203" s="52"/>
      <c r="AI203" s="52"/>
      <c r="AJ203" s="52"/>
      <c r="AM203" s="44"/>
      <c r="AV203" s="44"/>
    </row>
    <row r="204" spans="1:48" ht="40.5" customHeight="1" x14ac:dyDescent="0.25">
      <c r="A204" s="190"/>
      <c r="B204" s="177"/>
      <c r="C204" s="173"/>
      <c r="D204" s="147" t="s">
        <v>25</v>
      </c>
      <c r="E204" s="141">
        <v>925</v>
      </c>
      <c r="F204" s="142" t="s">
        <v>60</v>
      </c>
      <c r="G204" s="142" t="s">
        <v>246</v>
      </c>
      <c r="H204" s="142" t="s">
        <v>87</v>
      </c>
      <c r="I204" s="33">
        <f>I340</f>
        <v>0</v>
      </c>
      <c r="J204" s="33">
        <f t="shared" ref="J204:Q204" si="100">J308</f>
        <v>32591.43</v>
      </c>
      <c r="K204" s="33">
        <f t="shared" si="100"/>
        <v>16732.306120000001</v>
      </c>
      <c r="L204" s="33">
        <f t="shared" si="100"/>
        <v>9953.5</v>
      </c>
      <c r="M204" s="33">
        <f t="shared" si="100"/>
        <v>10092.950000000001</v>
      </c>
      <c r="N204" s="33">
        <f t="shared" si="100"/>
        <v>13507.95</v>
      </c>
      <c r="O204" s="33">
        <f t="shared" si="100"/>
        <v>12204.88</v>
      </c>
      <c r="P204" s="33">
        <f t="shared" si="100"/>
        <v>0</v>
      </c>
      <c r="Q204" s="33">
        <f t="shared" si="100"/>
        <v>0</v>
      </c>
      <c r="R204" s="33">
        <v>0</v>
      </c>
      <c r="S204" s="33">
        <f t="shared" si="95"/>
        <v>95083.01612</v>
      </c>
      <c r="AG204" s="52"/>
      <c r="AH204" s="52"/>
      <c r="AI204" s="52"/>
      <c r="AJ204" s="52"/>
      <c r="AM204" s="44"/>
      <c r="AV204" s="44"/>
    </row>
    <row r="205" spans="1:48" ht="57" customHeight="1" x14ac:dyDescent="0.25">
      <c r="A205" s="190"/>
      <c r="B205" s="177"/>
      <c r="C205" s="173"/>
      <c r="D205" s="169" t="s">
        <v>26</v>
      </c>
      <c r="E205" s="166">
        <v>928</v>
      </c>
      <c r="F205" s="165" t="s">
        <v>60</v>
      </c>
      <c r="G205" s="142" t="s">
        <v>246</v>
      </c>
      <c r="H205" s="142" t="s">
        <v>262</v>
      </c>
      <c r="I205" s="33">
        <v>0</v>
      </c>
      <c r="J205" s="33">
        <f t="shared" ref="J205:Q205" si="101">J312</f>
        <v>20583.510000000002</v>
      </c>
      <c r="K205" s="33">
        <f t="shared" si="101"/>
        <v>15195.43</v>
      </c>
      <c r="L205" s="33">
        <f t="shared" si="101"/>
        <v>14269.21</v>
      </c>
      <c r="M205" s="33">
        <f t="shared" si="101"/>
        <v>23070.92</v>
      </c>
      <c r="N205" s="33">
        <f t="shared" si="101"/>
        <v>14762.78</v>
      </c>
      <c r="O205" s="33">
        <f t="shared" si="101"/>
        <v>17423.87</v>
      </c>
      <c r="P205" s="33">
        <f t="shared" si="101"/>
        <v>0</v>
      </c>
      <c r="Q205" s="33">
        <f t="shared" si="101"/>
        <v>0</v>
      </c>
      <c r="R205" s="33">
        <v>0</v>
      </c>
      <c r="S205" s="33">
        <f t="shared" si="95"/>
        <v>105305.72</v>
      </c>
      <c r="AG205" s="52"/>
      <c r="AH205" s="52"/>
      <c r="AI205" s="52"/>
      <c r="AJ205" s="52"/>
      <c r="AM205" s="44"/>
      <c r="AV205" s="44"/>
    </row>
    <row r="206" spans="1:48" ht="24.75" hidden="1" customHeight="1" x14ac:dyDescent="0.25">
      <c r="A206" s="190"/>
      <c r="B206" s="177"/>
      <c r="C206" s="173"/>
      <c r="D206" s="169"/>
      <c r="E206" s="166"/>
      <c r="F206" s="165"/>
      <c r="G206" s="142" t="s">
        <v>246</v>
      </c>
      <c r="H206" s="142" t="s">
        <v>235</v>
      </c>
      <c r="I206" s="33">
        <f>I348</f>
        <v>0</v>
      </c>
      <c r="J206" s="33">
        <f t="shared" ref="J206:O206" si="102">J316</f>
        <v>1495.41</v>
      </c>
      <c r="K206" s="33">
        <f t="shared" si="102"/>
        <v>0</v>
      </c>
      <c r="L206" s="33">
        <f t="shared" si="102"/>
        <v>0</v>
      </c>
      <c r="M206" s="33">
        <f t="shared" si="102"/>
        <v>0</v>
      </c>
      <c r="N206" s="33">
        <f t="shared" si="102"/>
        <v>0</v>
      </c>
      <c r="O206" s="33">
        <f t="shared" si="102"/>
        <v>0</v>
      </c>
      <c r="P206" s="33">
        <f>P316</f>
        <v>0</v>
      </c>
      <c r="Q206" s="33">
        <f>Q316</f>
        <v>0</v>
      </c>
      <c r="R206" s="33"/>
      <c r="S206" s="33">
        <f t="shared" si="95"/>
        <v>1495.41</v>
      </c>
      <c r="AG206" s="52"/>
      <c r="AH206" s="52"/>
      <c r="AI206" s="52"/>
      <c r="AJ206" s="52"/>
      <c r="AM206" s="44"/>
      <c r="AV206" s="44"/>
    </row>
    <row r="207" spans="1:48" ht="29.25" hidden="1" customHeight="1" x14ac:dyDescent="0.25">
      <c r="A207" s="190"/>
      <c r="B207" s="177"/>
      <c r="C207" s="173"/>
      <c r="D207" s="169"/>
      <c r="E207" s="166"/>
      <c r="F207" s="165"/>
      <c r="G207" s="142" t="s">
        <v>246</v>
      </c>
      <c r="H207" s="142" t="s">
        <v>234</v>
      </c>
      <c r="I207" s="33" t="e">
        <f>#REF!</f>
        <v>#REF!</v>
      </c>
      <c r="J207" s="33">
        <f>J320</f>
        <v>19088.11</v>
      </c>
      <c r="K207" s="33">
        <f>K320</f>
        <v>15195.43266</v>
      </c>
      <c r="L207" s="33">
        <f>L320</f>
        <v>16536.439999999999</v>
      </c>
      <c r="M207" s="33">
        <f>M320</f>
        <v>15080.941000000001</v>
      </c>
      <c r="N207" s="33">
        <f>N320</f>
        <v>15080.941000000001</v>
      </c>
      <c r="O207" s="33">
        <v>0</v>
      </c>
      <c r="P207" s="33">
        <v>1</v>
      </c>
      <c r="Q207" s="33">
        <v>2</v>
      </c>
      <c r="R207" s="33"/>
      <c r="S207" s="33" t="e">
        <f t="shared" si="95"/>
        <v>#REF!</v>
      </c>
      <c r="AG207" s="52"/>
      <c r="AH207" s="52"/>
      <c r="AI207" s="52"/>
      <c r="AJ207" s="52"/>
      <c r="AM207" s="44"/>
      <c r="AV207" s="44"/>
    </row>
    <row r="208" spans="1:48" ht="60" customHeight="1" x14ac:dyDescent="0.25">
      <c r="A208" s="190"/>
      <c r="B208" s="177"/>
      <c r="C208" s="173"/>
      <c r="D208" s="168" t="s">
        <v>27</v>
      </c>
      <c r="E208" s="166">
        <v>931</v>
      </c>
      <c r="F208" s="165" t="s">
        <v>60</v>
      </c>
      <c r="G208" s="142" t="s">
        <v>246</v>
      </c>
      <c r="H208" s="142" t="s">
        <v>262</v>
      </c>
      <c r="I208" s="33">
        <v>0</v>
      </c>
      <c r="J208" s="33">
        <f t="shared" ref="J208:Q208" si="103">J324</f>
        <v>25160.76</v>
      </c>
      <c r="K208" s="33">
        <f t="shared" si="103"/>
        <v>15664.7</v>
      </c>
      <c r="L208" s="33">
        <f t="shared" si="103"/>
        <v>21578.15</v>
      </c>
      <c r="M208" s="33">
        <f t="shared" si="103"/>
        <v>10882.45</v>
      </c>
      <c r="N208" s="33">
        <f t="shared" si="103"/>
        <v>13753.88</v>
      </c>
      <c r="O208" s="33">
        <f t="shared" si="103"/>
        <v>13818.17</v>
      </c>
      <c r="P208" s="33">
        <f t="shared" si="103"/>
        <v>0</v>
      </c>
      <c r="Q208" s="33">
        <f t="shared" si="103"/>
        <v>0</v>
      </c>
      <c r="R208" s="33">
        <v>0</v>
      </c>
      <c r="S208" s="33">
        <f t="shared" si="95"/>
        <v>100858.11</v>
      </c>
      <c r="AG208" s="52"/>
      <c r="AH208" s="52"/>
      <c r="AI208" s="52"/>
      <c r="AJ208" s="52"/>
      <c r="AM208" s="44"/>
      <c r="AV208" s="44"/>
    </row>
    <row r="209" spans="1:80" ht="24.75" hidden="1" customHeight="1" x14ac:dyDescent="0.25">
      <c r="A209" s="190"/>
      <c r="B209" s="177"/>
      <c r="C209" s="173"/>
      <c r="D209" s="168"/>
      <c r="E209" s="166"/>
      <c r="F209" s="165"/>
      <c r="G209" s="142" t="s">
        <v>246</v>
      </c>
      <c r="H209" s="142" t="s">
        <v>235</v>
      </c>
      <c r="I209" s="33">
        <v>0</v>
      </c>
      <c r="J209" s="33">
        <f t="shared" ref="J209:O209" si="104">J328</f>
        <v>3235.75</v>
      </c>
      <c r="K209" s="33">
        <f t="shared" si="104"/>
        <v>0</v>
      </c>
      <c r="L209" s="33">
        <f t="shared" si="104"/>
        <v>0</v>
      </c>
      <c r="M209" s="33">
        <f t="shared" si="104"/>
        <v>0</v>
      </c>
      <c r="N209" s="33">
        <f t="shared" si="104"/>
        <v>0</v>
      </c>
      <c r="O209" s="33">
        <f t="shared" si="104"/>
        <v>0</v>
      </c>
      <c r="P209" s="33">
        <f>P328</f>
        <v>0</v>
      </c>
      <c r="Q209" s="33">
        <f>Q328</f>
        <v>0</v>
      </c>
      <c r="R209" s="33"/>
      <c r="S209" s="33">
        <f t="shared" si="95"/>
        <v>3235.75</v>
      </c>
      <c r="AG209" s="52"/>
      <c r="AH209" s="52"/>
      <c r="AI209" s="52"/>
      <c r="AJ209" s="52"/>
      <c r="AM209" s="44"/>
      <c r="AV209" s="44"/>
    </row>
    <row r="210" spans="1:80" ht="27.75" hidden="1" customHeight="1" x14ac:dyDescent="0.25">
      <c r="A210" s="190"/>
      <c r="B210" s="177"/>
      <c r="C210" s="173"/>
      <c r="D210" s="168"/>
      <c r="E210" s="166"/>
      <c r="F210" s="165"/>
      <c r="G210" s="142" t="s">
        <v>246</v>
      </c>
      <c r="H210" s="142" t="s">
        <v>234</v>
      </c>
      <c r="I210" s="33" t="e">
        <f>#REF!</f>
        <v>#REF!</v>
      </c>
      <c r="J210" s="33">
        <f>J332</f>
        <v>21925.01</v>
      </c>
      <c r="K210" s="33">
        <f>K332</f>
        <v>15664.696840000001</v>
      </c>
      <c r="L210" s="33">
        <f>L332</f>
        <v>16536.43</v>
      </c>
      <c r="M210" s="33">
        <f>M332</f>
        <v>15080.94</v>
      </c>
      <c r="N210" s="33">
        <f>N332</f>
        <v>15080.94</v>
      </c>
      <c r="O210" s="33">
        <v>0</v>
      </c>
      <c r="P210" s="33">
        <v>1</v>
      </c>
      <c r="Q210" s="33">
        <v>2</v>
      </c>
      <c r="R210" s="33"/>
      <c r="S210" s="33" t="e">
        <f t="shared" si="95"/>
        <v>#REF!</v>
      </c>
      <c r="AG210" s="52"/>
      <c r="AH210" s="52"/>
      <c r="AI210" s="52"/>
      <c r="AJ210" s="52"/>
      <c r="AM210" s="44"/>
      <c r="AV210" s="44"/>
    </row>
    <row r="211" spans="1:80" ht="41.25" customHeight="1" x14ac:dyDescent="0.25">
      <c r="A211" s="190"/>
      <c r="B211" s="177"/>
      <c r="C211" s="173"/>
      <c r="D211" s="169" t="s">
        <v>28</v>
      </c>
      <c r="E211" s="166">
        <v>934</v>
      </c>
      <c r="F211" s="165" t="s">
        <v>60</v>
      </c>
      <c r="G211" s="142" t="s">
        <v>246</v>
      </c>
      <c r="H211" s="142" t="s">
        <v>262</v>
      </c>
      <c r="I211" s="33">
        <f>I212+I213</f>
        <v>0</v>
      </c>
      <c r="J211" s="33">
        <f t="shared" ref="J211:Q211" si="105">J336</f>
        <v>18320.45</v>
      </c>
      <c r="K211" s="33">
        <f t="shared" si="105"/>
        <v>28113.729759999998</v>
      </c>
      <c r="L211" s="33">
        <f t="shared" si="105"/>
        <v>22670.48</v>
      </c>
      <c r="M211" s="33">
        <f t="shared" si="105"/>
        <v>20842.41</v>
      </c>
      <c r="N211" s="33">
        <f t="shared" si="105"/>
        <v>26588.69</v>
      </c>
      <c r="O211" s="33">
        <f t="shared" si="105"/>
        <v>23848.35</v>
      </c>
      <c r="P211" s="33">
        <f t="shared" si="105"/>
        <v>0</v>
      </c>
      <c r="Q211" s="33">
        <f t="shared" si="105"/>
        <v>0</v>
      </c>
      <c r="R211" s="33">
        <v>0</v>
      </c>
      <c r="S211" s="33">
        <f t="shared" si="95"/>
        <v>140384.10975999999</v>
      </c>
      <c r="AG211" s="52"/>
      <c r="AH211" s="52"/>
      <c r="AI211" s="52"/>
      <c r="AJ211" s="52"/>
      <c r="AM211" s="44"/>
      <c r="AV211" s="44"/>
    </row>
    <row r="212" spans="1:80" ht="40.5" hidden="1" customHeight="1" x14ac:dyDescent="0.25">
      <c r="A212" s="190"/>
      <c r="B212" s="177"/>
      <c r="C212" s="173"/>
      <c r="D212" s="169"/>
      <c r="E212" s="166"/>
      <c r="F212" s="165"/>
      <c r="G212" s="142" t="s">
        <v>246</v>
      </c>
      <c r="H212" s="142" t="s">
        <v>235</v>
      </c>
      <c r="I212" s="33">
        <v>0</v>
      </c>
      <c r="J212" s="33">
        <f t="shared" ref="J212:O212" si="106">J340</f>
        <v>5530.72</v>
      </c>
      <c r="K212" s="33">
        <f t="shared" si="106"/>
        <v>2120.16248</v>
      </c>
      <c r="L212" s="33">
        <f t="shared" si="106"/>
        <v>0</v>
      </c>
      <c r="M212" s="33">
        <f t="shared" si="106"/>
        <v>0</v>
      </c>
      <c r="N212" s="33">
        <f t="shared" si="106"/>
        <v>0</v>
      </c>
      <c r="O212" s="33">
        <f t="shared" si="106"/>
        <v>0</v>
      </c>
      <c r="P212" s="33">
        <f>P340</f>
        <v>0</v>
      </c>
      <c r="Q212" s="33">
        <f>Q340</f>
        <v>0</v>
      </c>
      <c r="R212" s="33"/>
      <c r="S212" s="33">
        <f t="shared" si="95"/>
        <v>7650.8824800000002</v>
      </c>
      <c r="AG212" s="52"/>
      <c r="AH212" s="52"/>
      <c r="AI212" s="52"/>
      <c r="AJ212" s="52"/>
      <c r="AM212" s="44"/>
      <c r="CB212" s="44">
        <f>I213+I280</f>
        <v>0</v>
      </c>
    </row>
    <row r="213" spans="1:80" ht="27.75" hidden="1" customHeight="1" x14ac:dyDescent="0.25">
      <c r="A213" s="190"/>
      <c r="B213" s="177"/>
      <c r="C213" s="173"/>
      <c r="D213" s="169"/>
      <c r="E213" s="166"/>
      <c r="F213" s="165"/>
      <c r="G213" s="142" t="s">
        <v>246</v>
      </c>
      <c r="H213" s="142" t="s">
        <v>234</v>
      </c>
      <c r="I213" s="33">
        <f>I536</f>
        <v>0</v>
      </c>
      <c r="J213" s="33">
        <f t="shared" ref="J213:O213" si="107">J344</f>
        <v>12789.72</v>
      </c>
      <c r="K213" s="33">
        <f t="shared" si="107"/>
        <v>25993.567279999999</v>
      </c>
      <c r="L213" s="33">
        <f t="shared" si="107"/>
        <v>16536.439999999999</v>
      </c>
      <c r="M213" s="33">
        <f t="shared" si="107"/>
        <v>15080.94</v>
      </c>
      <c r="N213" s="33">
        <f t="shared" si="107"/>
        <v>15080.94</v>
      </c>
      <c r="O213" s="33">
        <f t="shared" si="107"/>
        <v>0</v>
      </c>
      <c r="P213" s="33">
        <f>P344</f>
        <v>0</v>
      </c>
      <c r="Q213" s="33">
        <f>Q344</f>
        <v>0</v>
      </c>
      <c r="R213" s="33"/>
      <c r="S213" s="33">
        <f t="shared" si="95"/>
        <v>85481.607279999997</v>
      </c>
      <c r="AG213" s="52"/>
      <c r="AH213" s="52"/>
      <c r="AI213" s="52"/>
      <c r="AJ213" s="52"/>
      <c r="AM213" s="44"/>
      <c r="AV213" s="44" t="e">
        <f>AV279+#REF!+#REF!</f>
        <v>#REF!</v>
      </c>
      <c r="CA213" s="44">
        <f>I216+I282</f>
        <v>0</v>
      </c>
      <c r="CB213" s="44">
        <f>I215+I281</f>
        <v>0</v>
      </c>
    </row>
    <row r="214" spans="1:80" ht="53.25" customHeight="1" x14ac:dyDescent="0.25">
      <c r="A214" s="190"/>
      <c r="B214" s="177"/>
      <c r="C214" s="173"/>
      <c r="D214" s="169" t="s">
        <v>29</v>
      </c>
      <c r="E214" s="166">
        <v>937</v>
      </c>
      <c r="F214" s="165" t="s">
        <v>60</v>
      </c>
      <c r="G214" s="142" t="s">
        <v>246</v>
      </c>
      <c r="H214" s="142" t="s">
        <v>262</v>
      </c>
      <c r="I214" s="33">
        <f>I215+I216</f>
        <v>0</v>
      </c>
      <c r="J214" s="33">
        <f t="shared" ref="J214:Q214" si="108">J348</f>
        <v>14004.3</v>
      </c>
      <c r="K214" s="33">
        <f t="shared" si="108"/>
        <v>7096.92</v>
      </c>
      <c r="L214" s="33">
        <f t="shared" si="108"/>
        <v>1144.72</v>
      </c>
      <c r="M214" s="33">
        <f t="shared" si="108"/>
        <v>5096.12</v>
      </c>
      <c r="N214" s="33">
        <f t="shared" si="108"/>
        <v>9778.7999999999993</v>
      </c>
      <c r="O214" s="33">
        <f t="shared" si="108"/>
        <v>4313.83</v>
      </c>
      <c r="P214" s="33">
        <f t="shared" si="108"/>
        <v>0</v>
      </c>
      <c r="Q214" s="33">
        <f t="shared" si="108"/>
        <v>0</v>
      </c>
      <c r="R214" s="33">
        <v>0</v>
      </c>
      <c r="S214" s="33">
        <f t="shared" si="95"/>
        <v>41434.69</v>
      </c>
      <c r="AG214" s="52"/>
      <c r="AH214" s="52"/>
      <c r="AI214" s="52"/>
      <c r="AJ214" s="52"/>
      <c r="AM214" s="44"/>
      <c r="AV214" s="44"/>
      <c r="CA214" s="44"/>
      <c r="CB214" s="44"/>
    </row>
    <row r="215" spans="1:80" ht="27.75" hidden="1" customHeight="1" x14ac:dyDescent="0.25">
      <c r="A215" s="152"/>
      <c r="B215" s="145"/>
      <c r="C215" s="173"/>
      <c r="D215" s="169"/>
      <c r="E215" s="166"/>
      <c r="F215" s="165"/>
      <c r="G215" s="142" t="s">
        <v>246</v>
      </c>
      <c r="H215" s="142" t="s">
        <v>235</v>
      </c>
      <c r="I215" s="33">
        <v>0</v>
      </c>
      <c r="J215" s="33" t="e">
        <f>#REF!</f>
        <v>#REF!</v>
      </c>
      <c r="K215" s="33" t="e">
        <f>#REF!</f>
        <v>#REF!</v>
      </c>
      <c r="L215" s="33" t="e">
        <f>#REF!</f>
        <v>#REF!</v>
      </c>
      <c r="M215" s="33" t="e">
        <f>#REF!</f>
        <v>#REF!</v>
      </c>
      <c r="N215" s="33" t="e">
        <f>#REF!</f>
        <v>#REF!</v>
      </c>
      <c r="O215" s="33" t="e">
        <f>#REF!</f>
        <v>#REF!</v>
      </c>
      <c r="P215" s="33"/>
      <c r="Q215" s="33"/>
      <c r="R215" s="33"/>
      <c r="S215" s="33" t="e">
        <f t="shared" si="95"/>
        <v>#REF!</v>
      </c>
      <c r="AG215" s="52"/>
      <c r="AH215" s="52"/>
      <c r="AI215" s="52"/>
      <c r="AJ215" s="52"/>
      <c r="AM215" s="44"/>
      <c r="CB215" s="44">
        <f>SUM(CB212:CB213)</f>
        <v>0</v>
      </c>
    </row>
    <row r="216" spans="1:80" ht="27.75" hidden="1" customHeight="1" x14ac:dyDescent="0.25">
      <c r="A216" s="152"/>
      <c r="B216" s="145"/>
      <c r="C216" s="173"/>
      <c r="D216" s="169"/>
      <c r="E216" s="166"/>
      <c r="F216" s="165"/>
      <c r="G216" s="142" t="s">
        <v>246</v>
      </c>
      <c r="H216" s="142" t="s">
        <v>234</v>
      </c>
      <c r="I216" s="33">
        <v>0</v>
      </c>
      <c r="J216" s="33" t="e">
        <f>#REF!</f>
        <v>#REF!</v>
      </c>
      <c r="K216" s="33" t="e">
        <f>#REF!</f>
        <v>#REF!</v>
      </c>
      <c r="L216" s="33" t="e">
        <f>#REF!</f>
        <v>#REF!</v>
      </c>
      <c r="M216" s="33" t="e">
        <f>#REF!</f>
        <v>#REF!</v>
      </c>
      <c r="N216" s="33" t="e">
        <f>#REF!</f>
        <v>#REF!</v>
      </c>
      <c r="O216" s="33" t="e">
        <f>#REF!</f>
        <v>#REF!</v>
      </c>
      <c r="P216" s="33"/>
      <c r="Q216" s="33"/>
      <c r="R216" s="33"/>
      <c r="S216" s="33" t="e">
        <f t="shared" si="95"/>
        <v>#REF!</v>
      </c>
      <c r="AG216" s="52"/>
      <c r="AH216" s="52"/>
      <c r="AI216" s="52"/>
      <c r="AJ216" s="52"/>
      <c r="AM216" s="44"/>
      <c r="AV216" s="44" t="e">
        <f>AV281+#REF!+#REF!</f>
        <v>#REF!</v>
      </c>
    </row>
    <row r="217" spans="1:80" ht="24.75" customHeight="1" x14ac:dyDescent="0.25">
      <c r="A217" s="190"/>
      <c r="B217" s="177"/>
      <c r="C217" s="173" t="s">
        <v>179</v>
      </c>
      <c r="D217" s="147" t="s">
        <v>10</v>
      </c>
      <c r="E217" s="142" t="s">
        <v>74</v>
      </c>
      <c r="F217" s="142" t="s">
        <v>74</v>
      </c>
      <c r="G217" s="142" t="s">
        <v>246</v>
      </c>
      <c r="H217" s="142" t="s">
        <v>74</v>
      </c>
      <c r="I217" s="33">
        <f>I324+I328</f>
        <v>0</v>
      </c>
      <c r="J217" s="33">
        <f>J218+J221</f>
        <v>20300.47</v>
      </c>
      <c r="K217" s="33">
        <f>K218+K221+K220</f>
        <v>20307.901599999997</v>
      </c>
      <c r="L217" s="33">
        <f>L218+L221</f>
        <v>18789.09</v>
      </c>
      <c r="M217" s="33">
        <f>M218+M221</f>
        <v>19171.13</v>
      </c>
      <c r="N217" s="33">
        <f>N218+N221+N220</f>
        <v>19144.34</v>
      </c>
      <c r="O217" s="33">
        <f>O219+O221+O220</f>
        <v>17790.579999999998</v>
      </c>
      <c r="P217" s="33">
        <f>P219+P221+P220</f>
        <v>0</v>
      </c>
      <c r="Q217" s="33">
        <f>Q219+Q221+Q220</f>
        <v>0</v>
      </c>
      <c r="R217" s="33">
        <f>R219+R221+R220</f>
        <v>0</v>
      </c>
      <c r="S217" s="33">
        <f t="shared" si="95"/>
        <v>115503.5116</v>
      </c>
      <c r="AG217" s="52"/>
      <c r="AH217" s="52"/>
      <c r="AI217" s="52"/>
      <c r="AJ217" s="52"/>
      <c r="AM217" s="44"/>
      <c r="AV217" s="44"/>
    </row>
    <row r="218" spans="1:80" ht="56.25" x14ac:dyDescent="0.25">
      <c r="A218" s="190"/>
      <c r="B218" s="177"/>
      <c r="C218" s="173"/>
      <c r="D218" s="140" t="s">
        <v>11</v>
      </c>
      <c r="E218" s="141">
        <v>915</v>
      </c>
      <c r="F218" s="142" t="s">
        <v>60</v>
      </c>
      <c r="G218" s="142" t="s">
        <v>246</v>
      </c>
      <c r="H218" s="142" t="s">
        <v>263</v>
      </c>
      <c r="I218" s="33">
        <f>I324</f>
        <v>0</v>
      </c>
      <c r="J218" s="33">
        <f>J265</f>
        <v>12021.47</v>
      </c>
      <c r="K218" s="33">
        <f>K269</f>
        <v>13800.07</v>
      </c>
      <c r="L218" s="33">
        <f>L269</f>
        <v>13465.91</v>
      </c>
      <c r="M218" s="33">
        <f>M269</f>
        <v>13812.52</v>
      </c>
      <c r="N218" s="33">
        <f>N269</f>
        <v>11357.54</v>
      </c>
      <c r="O218" s="33">
        <v>0</v>
      </c>
      <c r="P218" s="33">
        <v>0</v>
      </c>
      <c r="Q218" s="33">
        <v>0</v>
      </c>
      <c r="R218" s="33">
        <v>0</v>
      </c>
      <c r="S218" s="33">
        <f t="shared" si="95"/>
        <v>64457.51</v>
      </c>
      <c r="AG218" s="52"/>
      <c r="AH218" s="52"/>
      <c r="AI218" s="52"/>
      <c r="AJ218" s="52"/>
      <c r="AM218" s="44"/>
      <c r="AV218" s="44"/>
    </row>
    <row r="219" spans="1:80" ht="56.25" customHeight="1" x14ac:dyDescent="0.25">
      <c r="A219" s="190"/>
      <c r="B219" s="177"/>
      <c r="C219" s="173"/>
      <c r="D219" s="140" t="s">
        <v>321</v>
      </c>
      <c r="E219" s="141">
        <v>915</v>
      </c>
      <c r="F219" s="142" t="s">
        <v>60</v>
      </c>
      <c r="G219" s="142" t="s">
        <v>246</v>
      </c>
      <c r="H219" s="142" t="s">
        <v>263</v>
      </c>
      <c r="I219" s="33">
        <v>0</v>
      </c>
      <c r="J219" s="33">
        <v>0</v>
      </c>
      <c r="K219" s="33">
        <v>0</v>
      </c>
      <c r="L219" s="33">
        <v>0</v>
      </c>
      <c r="M219" s="33">
        <v>0</v>
      </c>
      <c r="N219" s="33">
        <v>0</v>
      </c>
      <c r="O219" s="33">
        <f>O273</f>
        <v>11465.63</v>
      </c>
      <c r="P219" s="33">
        <f>P273</f>
        <v>0</v>
      </c>
      <c r="Q219" s="33">
        <f>Q273</f>
        <v>0</v>
      </c>
      <c r="R219" s="33">
        <v>0</v>
      </c>
      <c r="S219" s="33">
        <f t="shared" si="95"/>
        <v>11465.63</v>
      </c>
      <c r="AG219" s="52"/>
      <c r="AH219" s="52"/>
      <c r="AI219" s="52"/>
      <c r="AJ219" s="52"/>
      <c r="AM219" s="44"/>
      <c r="AV219" s="44"/>
    </row>
    <row r="220" spans="1:80" ht="45.75" customHeight="1" x14ac:dyDescent="0.25">
      <c r="A220" s="190"/>
      <c r="B220" s="177"/>
      <c r="C220" s="173"/>
      <c r="D220" s="140" t="s">
        <v>261</v>
      </c>
      <c r="E220" s="141">
        <v>911</v>
      </c>
      <c r="F220" s="142" t="s">
        <v>60</v>
      </c>
      <c r="G220" s="142" t="s">
        <v>246</v>
      </c>
      <c r="H220" s="141">
        <v>620</v>
      </c>
      <c r="I220" s="33">
        <v>0</v>
      </c>
      <c r="J220" s="33">
        <v>0</v>
      </c>
      <c r="K220" s="33">
        <f>K277</f>
        <v>477.5</v>
      </c>
      <c r="L220" s="33">
        <v>0</v>
      </c>
      <c r="M220" s="33">
        <v>0</v>
      </c>
      <c r="N220" s="33">
        <f>N277</f>
        <v>2043.5</v>
      </c>
      <c r="O220" s="33">
        <f>O277</f>
        <v>987.78</v>
      </c>
      <c r="P220" s="33">
        <f>P277</f>
        <v>0</v>
      </c>
      <c r="Q220" s="33">
        <f>Q277</f>
        <v>0</v>
      </c>
      <c r="R220" s="33">
        <v>0</v>
      </c>
      <c r="S220" s="33">
        <f t="shared" si="95"/>
        <v>3508.7799999999997</v>
      </c>
      <c r="AG220" s="52"/>
      <c r="AH220" s="52"/>
      <c r="AI220" s="52"/>
      <c r="AJ220" s="52"/>
      <c r="AM220" s="44"/>
      <c r="AV220" s="44"/>
    </row>
    <row r="221" spans="1:80" ht="75" customHeight="1" x14ac:dyDescent="0.25">
      <c r="A221" s="190"/>
      <c r="B221" s="177"/>
      <c r="C221" s="173"/>
      <c r="D221" s="147" t="s">
        <v>13</v>
      </c>
      <c r="E221" s="142" t="s">
        <v>53</v>
      </c>
      <c r="F221" s="142" t="s">
        <v>60</v>
      </c>
      <c r="G221" s="142" t="s">
        <v>246</v>
      </c>
      <c r="H221" s="142" t="s">
        <v>74</v>
      </c>
      <c r="I221" s="33">
        <v>0</v>
      </c>
      <c r="J221" s="33">
        <f t="shared" ref="J221:O221" si="109">J223+J224+J227+J228+J231+J234+J237</f>
        <v>8279</v>
      </c>
      <c r="K221" s="33">
        <f t="shared" si="109"/>
        <v>6030.3315999999995</v>
      </c>
      <c r="L221" s="33">
        <f t="shared" si="109"/>
        <v>5323.1799999999994</v>
      </c>
      <c r="M221" s="33">
        <f t="shared" si="109"/>
        <v>5358.6100000000006</v>
      </c>
      <c r="N221" s="33">
        <f t="shared" si="109"/>
        <v>5743.3</v>
      </c>
      <c r="O221" s="33">
        <f t="shared" si="109"/>
        <v>5337.1699999999992</v>
      </c>
      <c r="P221" s="33">
        <f>P223+P224+P227+P228+P231+P234+P237</f>
        <v>0</v>
      </c>
      <c r="Q221" s="33">
        <f>Q223+Q224+Q227+Q228+Q231+Q234+Q237</f>
        <v>0</v>
      </c>
      <c r="R221" s="33">
        <v>0</v>
      </c>
      <c r="S221" s="33">
        <f t="shared" si="95"/>
        <v>36071.5916</v>
      </c>
      <c r="AG221" s="52"/>
      <c r="AH221" s="52"/>
      <c r="AI221" s="52"/>
      <c r="AJ221" s="52"/>
      <c r="AM221" s="44"/>
      <c r="AV221" s="44"/>
    </row>
    <row r="222" spans="1:80" ht="24.75" hidden="1" customHeight="1" x14ac:dyDescent="0.25">
      <c r="A222" s="190"/>
      <c r="B222" s="177"/>
      <c r="C222" s="173"/>
      <c r="D222" s="169" t="s">
        <v>23</v>
      </c>
      <c r="E222" s="166">
        <v>919</v>
      </c>
      <c r="F222" s="165" t="s">
        <v>60</v>
      </c>
      <c r="G222" s="142" t="s">
        <v>246</v>
      </c>
      <c r="H222" s="142" t="s">
        <v>245</v>
      </c>
      <c r="I222" s="33">
        <f>I336</f>
        <v>0</v>
      </c>
      <c r="J222" s="33">
        <v>0</v>
      </c>
      <c r="K222" s="33">
        <v>0</v>
      </c>
      <c r="L222" s="33">
        <v>0</v>
      </c>
      <c r="M222" s="33">
        <v>0</v>
      </c>
      <c r="N222" s="33">
        <v>0</v>
      </c>
      <c r="O222" s="33">
        <v>0</v>
      </c>
      <c r="P222" s="33"/>
      <c r="Q222" s="33"/>
      <c r="R222" s="33"/>
      <c r="S222" s="33">
        <f t="shared" si="95"/>
        <v>0</v>
      </c>
      <c r="AG222" s="52"/>
      <c r="AH222" s="52"/>
      <c r="AI222" s="52"/>
      <c r="AJ222" s="52"/>
      <c r="AM222" s="44"/>
      <c r="AV222" s="44"/>
    </row>
    <row r="223" spans="1:80" ht="53.25" customHeight="1" x14ac:dyDescent="0.25">
      <c r="A223" s="190"/>
      <c r="B223" s="177"/>
      <c r="C223" s="173"/>
      <c r="D223" s="169"/>
      <c r="E223" s="166"/>
      <c r="F223" s="165"/>
      <c r="G223" s="142" t="s">
        <v>246</v>
      </c>
      <c r="H223" s="142" t="s">
        <v>262</v>
      </c>
      <c r="I223" s="33">
        <v>0</v>
      </c>
      <c r="J223" s="33">
        <f t="shared" ref="J223:Q223" si="110">J293</f>
        <v>984.36</v>
      </c>
      <c r="K223" s="33">
        <f t="shared" si="110"/>
        <v>925.92000000000007</v>
      </c>
      <c r="L223" s="33">
        <f t="shared" si="110"/>
        <v>845.8</v>
      </c>
      <c r="M223" s="33">
        <f t="shared" si="110"/>
        <v>847.69</v>
      </c>
      <c r="N223" s="33">
        <f t="shared" si="110"/>
        <v>804.57</v>
      </c>
      <c r="O223" s="33">
        <f t="shared" si="110"/>
        <v>756.39</v>
      </c>
      <c r="P223" s="33">
        <f t="shared" si="110"/>
        <v>0</v>
      </c>
      <c r="Q223" s="33">
        <f t="shared" si="110"/>
        <v>0</v>
      </c>
      <c r="R223" s="33">
        <v>0</v>
      </c>
      <c r="S223" s="33">
        <f t="shared" si="95"/>
        <v>5164.7300000000005</v>
      </c>
      <c r="AG223" s="52"/>
      <c r="AH223" s="52"/>
      <c r="AI223" s="52"/>
      <c r="AJ223" s="52"/>
      <c r="AM223" s="44"/>
      <c r="AV223" s="44"/>
    </row>
    <row r="224" spans="1:80" ht="53.25" customHeight="1" x14ac:dyDescent="0.25">
      <c r="A224" s="190"/>
      <c r="B224" s="177"/>
      <c r="C224" s="173"/>
      <c r="D224" s="169" t="s">
        <v>24</v>
      </c>
      <c r="E224" s="166">
        <v>922</v>
      </c>
      <c r="F224" s="165" t="s">
        <v>60</v>
      </c>
      <c r="G224" s="142" t="s">
        <v>246</v>
      </c>
      <c r="H224" s="142" t="s">
        <v>262</v>
      </c>
      <c r="I224" s="33">
        <v>0</v>
      </c>
      <c r="J224" s="33">
        <f t="shared" ref="J224:Q224" si="111">J297</f>
        <v>1470.4</v>
      </c>
      <c r="K224" s="33">
        <f t="shared" si="111"/>
        <v>746.35</v>
      </c>
      <c r="L224" s="33">
        <f t="shared" si="111"/>
        <v>813.38</v>
      </c>
      <c r="M224" s="33">
        <f t="shared" si="111"/>
        <v>827.5</v>
      </c>
      <c r="N224" s="33">
        <f t="shared" si="111"/>
        <v>812.84</v>
      </c>
      <c r="O224" s="33">
        <f t="shared" si="111"/>
        <v>811.89</v>
      </c>
      <c r="P224" s="33">
        <f t="shared" si="111"/>
        <v>0</v>
      </c>
      <c r="Q224" s="33">
        <f t="shared" si="111"/>
        <v>0</v>
      </c>
      <c r="R224" s="33">
        <v>0</v>
      </c>
      <c r="S224" s="33">
        <f t="shared" si="95"/>
        <v>5482.3600000000006</v>
      </c>
      <c r="AG224" s="52"/>
      <c r="AH224" s="52"/>
      <c r="AI224" s="52"/>
      <c r="AJ224" s="52"/>
      <c r="AM224" s="44"/>
      <c r="AV224" s="44"/>
    </row>
    <row r="225" spans="1:80" ht="24.75" hidden="1" customHeight="1" x14ac:dyDescent="0.25">
      <c r="A225" s="190"/>
      <c r="B225" s="177"/>
      <c r="C225" s="173"/>
      <c r="D225" s="169"/>
      <c r="E225" s="166"/>
      <c r="F225" s="165"/>
      <c r="G225" s="142" t="s">
        <v>246</v>
      </c>
      <c r="H225" s="142" t="s">
        <v>235</v>
      </c>
      <c r="I225" s="33">
        <f>I348</f>
        <v>0</v>
      </c>
      <c r="J225" s="33">
        <f t="shared" ref="J225:O225" si="112">J301</f>
        <v>191.13</v>
      </c>
      <c r="K225" s="33">
        <f t="shared" si="112"/>
        <v>0</v>
      </c>
      <c r="L225" s="33">
        <f t="shared" si="112"/>
        <v>0</v>
      </c>
      <c r="M225" s="33">
        <f t="shared" si="112"/>
        <v>0</v>
      </c>
      <c r="N225" s="33">
        <f t="shared" si="112"/>
        <v>0</v>
      </c>
      <c r="O225" s="33">
        <f t="shared" si="112"/>
        <v>0</v>
      </c>
      <c r="P225" s="33">
        <f>P301</f>
        <v>0</v>
      </c>
      <c r="Q225" s="33">
        <f>Q301</f>
        <v>0</v>
      </c>
      <c r="R225" s="33"/>
      <c r="S225" s="33">
        <f t="shared" si="95"/>
        <v>191.13</v>
      </c>
      <c r="AG225" s="52"/>
      <c r="AH225" s="52"/>
      <c r="AI225" s="52"/>
      <c r="AJ225" s="52"/>
      <c r="AM225" s="44"/>
      <c r="AV225" s="44"/>
    </row>
    <row r="226" spans="1:80" ht="24.75" hidden="1" customHeight="1" x14ac:dyDescent="0.25">
      <c r="A226" s="190"/>
      <c r="B226" s="177"/>
      <c r="C226" s="173"/>
      <c r="D226" s="169"/>
      <c r="E226" s="166"/>
      <c r="F226" s="165"/>
      <c r="G226" s="142" t="s">
        <v>246</v>
      </c>
      <c r="H226" s="142" t="s">
        <v>234</v>
      </c>
      <c r="I226" s="33" t="e">
        <f>#REF!</f>
        <v>#REF!</v>
      </c>
      <c r="J226" s="33">
        <f>J305</f>
        <v>1279.27</v>
      </c>
      <c r="K226" s="33">
        <f>K305</f>
        <v>786.17590000000007</v>
      </c>
      <c r="L226" s="33">
        <f>L305</f>
        <v>870.34</v>
      </c>
      <c r="M226" s="33">
        <f>M305</f>
        <v>793.73400000000004</v>
      </c>
      <c r="N226" s="33">
        <f>N305</f>
        <v>793.73400000000004</v>
      </c>
      <c r="O226" s="33">
        <v>0</v>
      </c>
      <c r="P226" s="33">
        <v>1</v>
      </c>
      <c r="Q226" s="33">
        <v>2</v>
      </c>
      <c r="R226" s="33"/>
      <c r="S226" s="33" t="e">
        <f t="shared" si="95"/>
        <v>#REF!</v>
      </c>
      <c r="AG226" s="52"/>
      <c r="AH226" s="52"/>
      <c r="AI226" s="52"/>
      <c r="AJ226" s="52"/>
      <c r="AM226" s="44"/>
      <c r="AV226" s="44"/>
    </row>
    <row r="227" spans="1:80" ht="40.5" customHeight="1" x14ac:dyDescent="0.25">
      <c r="A227" s="190"/>
      <c r="B227" s="177"/>
      <c r="C227" s="173"/>
      <c r="D227" s="147" t="s">
        <v>25</v>
      </c>
      <c r="E227" s="141">
        <v>925</v>
      </c>
      <c r="F227" s="142" t="s">
        <v>60</v>
      </c>
      <c r="G227" s="142" t="s">
        <v>246</v>
      </c>
      <c r="H227" s="142" t="s">
        <v>87</v>
      </c>
      <c r="I227" s="33">
        <v>0</v>
      </c>
      <c r="J227" s="33">
        <f t="shared" ref="J227:Q227" si="113">J309</f>
        <v>1715.34</v>
      </c>
      <c r="K227" s="33">
        <f t="shared" si="113"/>
        <v>880.65134999999998</v>
      </c>
      <c r="L227" s="33">
        <f t="shared" si="113"/>
        <v>523.87</v>
      </c>
      <c r="M227" s="33">
        <f t="shared" si="113"/>
        <v>531.21</v>
      </c>
      <c r="N227" s="33">
        <f t="shared" si="113"/>
        <v>710.94</v>
      </c>
      <c r="O227" s="33">
        <f t="shared" si="113"/>
        <v>642.36</v>
      </c>
      <c r="P227" s="33">
        <f t="shared" si="113"/>
        <v>0</v>
      </c>
      <c r="Q227" s="33">
        <f t="shared" si="113"/>
        <v>0</v>
      </c>
      <c r="R227" s="33">
        <v>0</v>
      </c>
      <c r="S227" s="33">
        <f t="shared" si="95"/>
        <v>5004.3713499999994</v>
      </c>
      <c r="AG227" s="52"/>
      <c r="AH227" s="52"/>
      <c r="AI227" s="52"/>
      <c r="AJ227" s="52"/>
      <c r="AM227" s="44"/>
      <c r="AV227" s="44"/>
    </row>
    <row r="228" spans="1:80" ht="60" customHeight="1" x14ac:dyDescent="0.25">
      <c r="A228" s="190"/>
      <c r="B228" s="177"/>
      <c r="C228" s="173"/>
      <c r="D228" s="169" t="s">
        <v>26</v>
      </c>
      <c r="E228" s="166">
        <v>928</v>
      </c>
      <c r="F228" s="165" t="s">
        <v>60</v>
      </c>
      <c r="G228" s="142" t="s">
        <v>246</v>
      </c>
      <c r="H228" s="142" t="s">
        <v>262</v>
      </c>
      <c r="I228" s="33">
        <f>I229+I230</f>
        <v>0</v>
      </c>
      <c r="J228" s="33">
        <f t="shared" ref="J228:Q228" si="114">J313</f>
        <v>1083.3499999999999</v>
      </c>
      <c r="K228" s="33">
        <f t="shared" si="114"/>
        <v>799.76</v>
      </c>
      <c r="L228" s="33">
        <f t="shared" si="114"/>
        <v>751.01</v>
      </c>
      <c r="M228" s="33">
        <f t="shared" si="114"/>
        <v>1214.26</v>
      </c>
      <c r="N228" s="33">
        <f t="shared" si="114"/>
        <v>776.99</v>
      </c>
      <c r="O228" s="33">
        <f t="shared" si="114"/>
        <v>917.05</v>
      </c>
      <c r="P228" s="33">
        <f t="shared" si="114"/>
        <v>0</v>
      </c>
      <c r="Q228" s="33">
        <f t="shared" si="114"/>
        <v>0</v>
      </c>
      <c r="R228" s="33">
        <v>0</v>
      </c>
      <c r="S228" s="33">
        <f t="shared" si="95"/>
        <v>5542.42</v>
      </c>
      <c r="AG228" s="52"/>
      <c r="AH228" s="52"/>
      <c r="AI228" s="52"/>
      <c r="AJ228" s="52"/>
      <c r="AM228" s="44"/>
      <c r="AV228" s="44"/>
    </row>
    <row r="229" spans="1:80" ht="24.75" hidden="1" customHeight="1" x14ac:dyDescent="0.25">
      <c r="A229" s="190"/>
      <c r="B229" s="177"/>
      <c r="C229" s="173"/>
      <c r="D229" s="169"/>
      <c r="E229" s="166"/>
      <c r="F229" s="165"/>
      <c r="G229" s="142" t="s">
        <v>246</v>
      </c>
      <c r="H229" s="142" t="s">
        <v>235</v>
      </c>
      <c r="I229" s="33">
        <v>0</v>
      </c>
      <c r="J229" s="33">
        <f t="shared" ref="J229:O229" si="115">J317</f>
        <v>78.7</v>
      </c>
      <c r="K229" s="33">
        <f t="shared" si="115"/>
        <v>0</v>
      </c>
      <c r="L229" s="33">
        <f t="shared" si="115"/>
        <v>0</v>
      </c>
      <c r="M229" s="33">
        <f t="shared" si="115"/>
        <v>0</v>
      </c>
      <c r="N229" s="33">
        <f t="shared" si="115"/>
        <v>0</v>
      </c>
      <c r="O229" s="33">
        <f t="shared" si="115"/>
        <v>0</v>
      </c>
      <c r="P229" s="33">
        <f>P317</f>
        <v>0</v>
      </c>
      <c r="Q229" s="33"/>
      <c r="R229" s="33"/>
      <c r="S229" s="33">
        <f t="shared" si="95"/>
        <v>78.7</v>
      </c>
      <c r="AG229" s="52"/>
      <c r="AH229" s="52"/>
      <c r="AI229" s="52"/>
      <c r="AJ229" s="52"/>
      <c r="AM229" s="44"/>
      <c r="AV229" s="44"/>
    </row>
    <row r="230" spans="1:80" ht="24.75" hidden="1" customHeight="1" x14ac:dyDescent="0.25">
      <c r="A230" s="190"/>
      <c r="B230" s="177"/>
      <c r="C230" s="173"/>
      <c r="D230" s="169"/>
      <c r="E230" s="166"/>
      <c r="F230" s="165"/>
      <c r="G230" s="142" t="s">
        <v>246</v>
      </c>
      <c r="H230" s="142" t="s">
        <v>234</v>
      </c>
      <c r="I230" s="33">
        <v>0</v>
      </c>
      <c r="J230" s="33">
        <f>J321</f>
        <v>1004.64</v>
      </c>
      <c r="K230" s="33">
        <f>K321</f>
        <v>799.76013</v>
      </c>
      <c r="L230" s="33">
        <f>L321</f>
        <v>870.34</v>
      </c>
      <c r="M230" s="33">
        <f>M321</f>
        <v>793.73299999999995</v>
      </c>
      <c r="N230" s="33">
        <f>N321</f>
        <v>793.73299999999995</v>
      </c>
      <c r="O230" s="33">
        <v>0</v>
      </c>
      <c r="P230" s="33">
        <v>1</v>
      </c>
      <c r="Q230" s="33"/>
      <c r="R230" s="33"/>
      <c r="S230" s="33">
        <f t="shared" si="95"/>
        <v>4263.2061300000005</v>
      </c>
      <c r="AG230" s="52"/>
      <c r="AH230" s="52"/>
      <c r="AI230" s="52"/>
      <c r="AJ230" s="52"/>
      <c r="AM230" s="44"/>
      <c r="AV230" s="44"/>
    </row>
    <row r="231" spans="1:80" ht="57.75" customHeight="1" x14ac:dyDescent="0.25">
      <c r="A231" s="190"/>
      <c r="B231" s="177"/>
      <c r="C231" s="173"/>
      <c r="D231" s="168" t="s">
        <v>27</v>
      </c>
      <c r="E231" s="166">
        <v>931</v>
      </c>
      <c r="F231" s="165" t="s">
        <v>60</v>
      </c>
      <c r="G231" s="142" t="s">
        <v>246</v>
      </c>
      <c r="H231" s="142" t="s">
        <v>262</v>
      </c>
      <c r="I231" s="33">
        <f>I232+I233</f>
        <v>0</v>
      </c>
      <c r="J231" s="33">
        <f t="shared" ref="J231:Q231" si="116">J325</f>
        <v>1324.25</v>
      </c>
      <c r="K231" s="33">
        <f t="shared" si="116"/>
        <v>824.46</v>
      </c>
      <c r="L231" s="33">
        <f t="shared" si="116"/>
        <v>1135.69</v>
      </c>
      <c r="M231" s="33">
        <f t="shared" si="116"/>
        <v>572.76</v>
      </c>
      <c r="N231" s="33">
        <f t="shared" si="116"/>
        <v>723.89</v>
      </c>
      <c r="O231" s="33">
        <f t="shared" si="116"/>
        <v>727.27</v>
      </c>
      <c r="P231" s="33">
        <f t="shared" si="116"/>
        <v>0</v>
      </c>
      <c r="Q231" s="33">
        <f t="shared" si="116"/>
        <v>0</v>
      </c>
      <c r="R231" s="33">
        <v>0</v>
      </c>
      <c r="S231" s="33">
        <f>SUM(I231:R231)</f>
        <v>5308.32</v>
      </c>
      <c r="AG231" s="52"/>
      <c r="AH231" s="52"/>
      <c r="AI231" s="52"/>
      <c r="AJ231" s="52"/>
      <c r="AM231" s="44"/>
      <c r="AV231" s="44"/>
    </row>
    <row r="232" spans="1:80" ht="24.75" hidden="1" customHeight="1" x14ac:dyDescent="0.25">
      <c r="A232" s="190"/>
      <c r="B232" s="177"/>
      <c r="C232" s="173"/>
      <c r="D232" s="168"/>
      <c r="E232" s="166"/>
      <c r="F232" s="165"/>
      <c r="G232" s="142" t="s">
        <v>246</v>
      </c>
      <c r="H232" s="142" t="s">
        <v>235</v>
      </c>
      <c r="I232" s="33">
        <f>I536</f>
        <v>0</v>
      </c>
      <c r="J232" s="33">
        <f t="shared" ref="J232:O232" si="117">J329</f>
        <v>170.3</v>
      </c>
      <c r="K232" s="33">
        <f t="shared" si="117"/>
        <v>0</v>
      </c>
      <c r="L232" s="33">
        <f t="shared" si="117"/>
        <v>0</v>
      </c>
      <c r="M232" s="33">
        <f t="shared" si="117"/>
        <v>0</v>
      </c>
      <c r="N232" s="33">
        <f t="shared" si="117"/>
        <v>0</v>
      </c>
      <c r="O232" s="33">
        <f t="shared" si="117"/>
        <v>0</v>
      </c>
      <c r="P232" s="33">
        <f>P329</f>
        <v>0</v>
      </c>
      <c r="Q232" s="33"/>
      <c r="R232" s="33"/>
      <c r="S232" s="33">
        <f t="shared" si="95"/>
        <v>170.3</v>
      </c>
      <c r="AG232" s="52"/>
      <c r="AH232" s="52"/>
      <c r="AI232" s="52"/>
      <c r="AJ232" s="52"/>
      <c r="AM232" s="44"/>
      <c r="AV232" s="44"/>
    </row>
    <row r="233" spans="1:80" ht="30.75" hidden="1" customHeight="1" x14ac:dyDescent="0.25">
      <c r="A233" s="190"/>
      <c r="B233" s="177"/>
      <c r="C233" s="173"/>
      <c r="D233" s="168"/>
      <c r="E233" s="166"/>
      <c r="F233" s="165"/>
      <c r="G233" s="142" t="s">
        <v>246</v>
      </c>
      <c r="H233" s="142" t="s">
        <v>234</v>
      </c>
      <c r="I233" s="33">
        <v>0</v>
      </c>
      <c r="J233" s="33">
        <f>J333</f>
        <v>1153.95</v>
      </c>
      <c r="K233" s="33">
        <f>K333</f>
        <v>824.46033</v>
      </c>
      <c r="L233" s="33">
        <f>L333</f>
        <v>870.34</v>
      </c>
      <c r="M233" s="33">
        <f>M333</f>
        <v>793.73299999999995</v>
      </c>
      <c r="N233" s="33">
        <f>N333</f>
        <v>793.73299999999995</v>
      </c>
      <c r="O233" s="33">
        <v>0</v>
      </c>
      <c r="P233" s="33">
        <v>1</v>
      </c>
      <c r="Q233" s="33"/>
      <c r="R233" s="33"/>
      <c r="S233" s="33">
        <f t="shared" si="95"/>
        <v>4437.2163300000002</v>
      </c>
      <c r="AG233" s="52"/>
      <c r="AH233" s="52"/>
      <c r="AI233" s="52"/>
      <c r="AJ233" s="52"/>
      <c r="AM233" s="44"/>
      <c r="AV233" s="44"/>
    </row>
    <row r="234" spans="1:80" ht="46.5" customHeight="1" x14ac:dyDescent="0.25">
      <c r="A234" s="190"/>
      <c r="B234" s="177"/>
      <c r="C234" s="173"/>
      <c r="D234" s="169" t="s">
        <v>28</v>
      </c>
      <c r="E234" s="166">
        <v>934</v>
      </c>
      <c r="F234" s="165" t="s">
        <v>60</v>
      </c>
      <c r="G234" s="142" t="s">
        <v>246</v>
      </c>
      <c r="H234" s="142" t="s">
        <v>262</v>
      </c>
      <c r="I234" s="33">
        <f>I235+I236</f>
        <v>0</v>
      </c>
      <c r="J234" s="33">
        <f t="shared" ref="J234:Q234" si="118">J337</f>
        <v>964.23</v>
      </c>
      <c r="K234" s="33">
        <f t="shared" si="118"/>
        <v>1479.6702499999999</v>
      </c>
      <c r="L234" s="33">
        <f t="shared" si="118"/>
        <v>1193.18</v>
      </c>
      <c r="M234" s="33">
        <f t="shared" si="118"/>
        <v>1096.97</v>
      </c>
      <c r="N234" s="33">
        <f t="shared" si="118"/>
        <v>1399.4</v>
      </c>
      <c r="O234" s="33">
        <f t="shared" si="118"/>
        <v>1255.17</v>
      </c>
      <c r="P234" s="33">
        <f t="shared" si="118"/>
        <v>0</v>
      </c>
      <c r="Q234" s="33">
        <f t="shared" si="118"/>
        <v>0</v>
      </c>
      <c r="R234" s="33">
        <v>0</v>
      </c>
      <c r="S234" s="33">
        <f t="shared" si="95"/>
        <v>7388.6202499999999</v>
      </c>
      <c r="AG234" s="52"/>
      <c r="AH234" s="52"/>
      <c r="AI234" s="52"/>
      <c r="AJ234" s="52"/>
      <c r="AM234" s="44"/>
      <c r="AV234" s="44"/>
    </row>
    <row r="235" spans="1:80" ht="40.5" hidden="1" customHeight="1" x14ac:dyDescent="0.25">
      <c r="A235" s="190"/>
      <c r="B235" s="177"/>
      <c r="C235" s="173"/>
      <c r="D235" s="169"/>
      <c r="E235" s="166"/>
      <c r="F235" s="165"/>
      <c r="G235" s="142" t="s">
        <v>246</v>
      </c>
      <c r="H235" s="142" t="s">
        <v>235</v>
      </c>
      <c r="I235" s="33">
        <v>0</v>
      </c>
      <c r="J235" s="33">
        <f t="shared" ref="J235:O235" si="119">J341</f>
        <v>291.08999999999997</v>
      </c>
      <c r="K235" s="33">
        <f t="shared" si="119"/>
        <v>111.58698</v>
      </c>
      <c r="L235" s="33">
        <f t="shared" si="119"/>
        <v>0</v>
      </c>
      <c r="M235" s="33">
        <f t="shared" si="119"/>
        <v>0</v>
      </c>
      <c r="N235" s="33">
        <f t="shared" si="119"/>
        <v>0</v>
      </c>
      <c r="O235" s="33">
        <f t="shared" si="119"/>
        <v>0</v>
      </c>
      <c r="P235" s="33">
        <f>P341</f>
        <v>0</v>
      </c>
      <c r="Q235" s="33"/>
      <c r="R235" s="33"/>
      <c r="S235" s="33">
        <f t="shared" si="95"/>
        <v>402.67697999999996</v>
      </c>
      <c r="AG235" s="52"/>
      <c r="AH235" s="52"/>
      <c r="AI235" s="52"/>
      <c r="AJ235" s="52"/>
      <c r="AM235" s="44"/>
      <c r="CB235" s="44">
        <f>I236+I296</f>
        <v>0</v>
      </c>
    </row>
    <row r="236" spans="1:80" ht="27.75" hidden="1" customHeight="1" x14ac:dyDescent="0.25">
      <c r="A236" s="190"/>
      <c r="B236" s="177"/>
      <c r="C236" s="173"/>
      <c r="D236" s="169"/>
      <c r="E236" s="166"/>
      <c r="F236" s="165"/>
      <c r="G236" s="142" t="s">
        <v>246</v>
      </c>
      <c r="H236" s="142" t="s">
        <v>234</v>
      </c>
      <c r="I236" s="33">
        <v>0</v>
      </c>
      <c r="J236" s="33">
        <f t="shared" ref="J236:O236" si="120">J345</f>
        <v>673.15</v>
      </c>
      <c r="K236" s="33">
        <f t="shared" si="120"/>
        <v>1368.0832699999999</v>
      </c>
      <c r="L236" s="33">
        <f t="shared" si="120"/>
        <v>870.34</v>
      </c>
      <c r="M236" s="33">
        <f t="shared" si="120"/>
        <v>793.73299999999995</v>
      </c>
      <c r="N236" s="33">
        <f t="shared" si="120"/>
        <v>793.73299999999995</v>
      </c>
      <c r="O236" s="33">
        <f t="shared" si="120"/>
        <v>0</v>
      </c>
      <c r="P236" s="33">
        <f>P345</f>
        <v>0</v>
      </c>
      <c r="Q236" s="33"/>
      <c r="R236" s="33"/>
      <c r="S236" s="33">
        <f t="shared" si="95"/>
        <v>4499.0392700000002</v>
      </c>
      <c r="AG236" s="52"/>
      <c r="AH236" s="52"/>
      <c r="AI236" s="52"/>
      <c r="AJ236" s="52"/>
      <c r="AM236" s="44"/>
      <c r="AV236" s="44" t="e">
        <f>AV295+#REF!+#REF!</f>
        <v>#REF!</v>
      </c>
      <c r="CA236" s="44">
        <f>I239+I298</f>
        <v>0</v>
      </c>
      <c r="CB236" s="44">
        <f>I238+I297</f>
        <v>0</v>
      </c>
    </row>
    <row r="237" spans="1:80" ht="58.5" customHeight="1" x14ac:dyDescent="0.25">
      <c r="A237" s="190"/>
      <c r="B237" s="177"/>
      <c r="C237" s="173"/>
      <c r="D237" s="169" t="s">
        <v>29</v>
      </c>
      <c r="E237" s="166">
        <v>937</v>
      </c>
      <c r="F237" s="165" t="s">
        <v>60</v>
      </c>
      <c r="G237" s="142" t="s">
        <v>246</v>
      </c>
      <c r="H237" s="142" t="s">
        <v>262</v>
      </c>
      <c r="I237" s="33">
        <f>I238+I239</f>
        <v>0</v>
      </c>
      <c r="J237" s="33">
        <f t="shared" ref="J237:Q237" si="121">J349</f>
        <v>737.07</v>
      </c>
      <c r="K237" s="33">
        <f t="shared" si="121"/>
        <v>373.52</v>
      </c>
      <c r="L237" s="33">
        <f t="shared" si="121"/>
        <v>60.25</v>
      </c>
      <c r="M237" s="33">
        <f t="shared" si="121"/>
        <v>268.22000000000003</v>
      </c>
      <c r="N237" s="33">
        <f t="shared" si="121"/>
        <v>514.66999999999996</v>
      </c>
      <c r="O237" s="33">
        <f t="shared" si="121"/>
        <v>227.04</v>
      </c>
      <c r="P237" s="33">
        <f t="shared" si="121"/>
        <v>0</v>
      </c>
      <c r="Q237" s="33">
        <f t="shared" si="121"/>
        <v>0</v>
      </c>
      <c r="R237" s="33">
        <v>0</v>
      </c>
      <c r="S237" s="33">
        <f>SUM(I237:R237)</f>
        <v>2180.77</v>
      </c>
      <c r="AG237" s="52"/>
      <c r="AH237" s="52"/>
      <c r="AI237" s="52"/>
      <c r="AJ237" s="52"/>
      <c r="AM237" s="44"/>
      <c r="AV237" s="44"/>
      <c r="CA237" s="44"/>
      <c r="CB237" s="44"/>
    </row>
    <row r="238" spans="1:80" ht="27.75" hidden="1" customHeight="1" x14ac:dyDescent="0.25">
      <c r="A238" s="152"/>
      <c r="B238" s="145"/>
      <c r="C238" s="173"/>
      <c r="D238" s="169"/>
      <c r="E238" s="166"/>
      <c r="F238" s="165"/>
      <c r="G238" s="142" t="s">
        <v>246</v>
      </c>
      <c r="H238" s="142" t="s">
        <v>235</v>
      </c>
      <c r="I238" s="33">
        <v>0</v>
      </c>
      <c r="J238" s="33" t="e">
        <f>#REF!</f>
        <v>#REF!</v>
      </c>
      <c r="K238" s="33" t="e">
        <f>#REF!</f>
        <v>#REF!</v>
      </c>
      <c r="L238" s="33" t="e">
        <f>#REF!</f>
        <v>#REF!</v>
      </c>
      <c r="M238" s="33" t="e">
        <f>#REF!</f>
        <v>#REF!</v>
      </c>
      <c r="N238" s="33" t="e">
        <f>#REF!</f>
        <v>#REF!</v>
      </c>
      <c r="O238" s="33" t="e">
        <f>#REF!</f>
        <v>#REF!</v>
      </c>
      <c r="P238" s="33"/>
      <c r="Q238" s="33"/>
      <c r="R238" s="33"/>
      <c r="S238" s="33" t="e">
        <f t="shared" si="95"/>
        <v>#REF!</v>
      </c>
      <c r="AG238" s="52"/>
      <c r="AH238" s="52"/>
      <c r="AI238" s="52"/>
      <c r="AJ238" s="52"/>
      <c r="AM238" s="44"/>
      <c r="CB238" s="44">
        <f>SUM(CB235:CB236)</f>
        <v>0</v>
      </c>
    </row>
    <row r="239" spans="1:80" ht="27.75" hidden="1" customHeight="1" x14ac:dyDescent="0.25">
      <c r="A239" s="152"/>
      <c r="B239" s="145"/>
      <c r="C239" s="173"/>
      <c r="D239" s="169"/>
      <c r="E239" s="166"/>
      <c r="F239" s="165"/>
      <c r="G239" s="142" t="s">
        <v>246</v>
      </c>
      <c r="H239" s="142" t="s">
        <v>234</v>
      </c>
      <c r="I239" s="33">
        <v>0</v>
      </c>
      <c r="J239" s="33" t="e">
        <f>#REF!</f>
        <v>#REF!</v>
      </c>
      <c r="K239" s="33" t="e">
        <f>#REF!</f>
        <v>#REF!</v>
      </c>
      <c r="L239" s="33" t="e">
        <f>#REF!</f>
        <v>#REF!</v>
      </c>
      <c r="M239" s="33" t="e">
        <f>#REF!</f>
        <v>#REF!</v>
      </c>
      <c r="N239" s="33" t="e">
        <f>#REF!</f>
        <v>#REF!</v>
      </c>
      <c r="O239" s="33" t="e">
        <f>#REF!</f>
        <v>#REF!</v>
      </c>
      <c r="P239" s="33"/>
      <c r="Q239" s="33"/>
      <c r="R239" s="33"/>
      <c r="S239" s="33" t="e">
        <f t="shared" si="95"/>
        <v>#REF!</v>
      </c>
      <c r="AG239" s="52"/>
      <c r="AH239" s="52"/>
      <c r="AI239" s="52"/>
      <c r="AJ239" s="52"/>
      <c r="AM239" s="44"/>
      <c r="AV239" s="44" t="e">
        <f>AV297+#REF!+#REF!</f>
        <v>#REF!</v>
      </c>
    </row>
    <row r="240" spans="1:80" ht="24.75" customHeight="1" x14ac:dyDescent="0.25">
      <c r="A240" s="190"/>
      <c r="B240" s="177"/>
      <c r="C240" s="173" t="s">
        <v>37</v>
      </c>
      <c r="D240" s="147" t="s">
        <v>10</v>
      </c>
      <c r="E240" s="142" t="s">
        <v>74</v>
      </c>
      <c r="F240" s="142" t="s">
        <v>74</v>
      </c>
      <c r="G240" s="142" t="s">
        <v>246</v>
      </c>
      <c r="H240" s="142" t="s">
        <v>74</v>
      </c>
      <c r="I240" s="33">
        <f>I340+I344</f>
        <v>0</v>
      </c>
      <c r="J240" s="33">
        <f>J241+J244</f>
        <v>26531.71</v>
      </c>
      <c r="K240" s="33">
        <f>K241+K243+K244</f>
        <v>19138.338519999998</v>
      </c>
      <c r="L240" s="33">
        <f>L241+L244</f>
        <v>19138.34</v>
      </c>
      <c r="M240" s="33">
        <f>M241+M244</f>
        <v>21180.959999999999</v>
      </c>
      <c r="N240" s="33">
        <f>N241+N244+N243</f>
        <v>19953.580000000002</v>
      </c>
      <c r="O240" s="33">
        <f>O242+O244+O243</f>
        <v>94457.689999999988</v>
      </c>
      <c r="P240" s="33">
        <f>P242+P244+P243</f>
        <v>0</v>
      </c>
      <c r="Q240" s="33">
        <f>Q242+Q244+Q243</f>
        <v>0</v>
      </c>
      <c r="R240" s="33">
        <f>R242+R244+R243</f>
        <v>0</v>
      </c>
      <c r="S240" s="33">
        <f>SUM(I240:R240)</f>
        <v>200400.61851999999</v>
      </c>
      <c r="AG240" s="52"/>
      <c r="AH240" s="52"/>
      <c r="AI240" s="52"/>
      <c r="AJ240" s="52"/>
      <c r="AM240" s="44"/>
      <c r="AV240" s="44"/>
    </row>
    <row r="241" spans="1:48" ht="56.25" x14ac:dyDescent="0.25">
      <c r="A241" s="190"/>
      <c r="B241" s="177"/>
      <c r="C241" s="173"/>
      <c r="D241" s="140" t="s">
        <v>11</v>
      </c>
      <c r="E241" s="141">
        <v>915</v>
      </c>
      <c r="F241" s="142" t="s">
        <v>60</v>
      </c>
      <c r="G241" s="142" t="s">
        <v>246</v>
      </c>
      <c r="H241" s="142" t="s">
        <v>263</v>
      </c>
      <c r="I241" s="33">
        <f>I266</f>
        <v>0</v>
      </c>
      <c r="J241" s="33">
        <f>J266</f>
        <v>15711.47</v>
      </c>
      <c r="K241" s="33">
        <f>K270</f>
        <v>13005.3</v>
      </c>
      <c r="L241" s="33">
        <f>L270</f>
        <v>13716.22</v>
      </c>
      <c r="M241" s="33">
        <f>M270</f>
        <v>15260.57</v>
      </c>
      <c r="N241" s="33">
        <f>N270</f>
        <v>11837.62</v>
      </c>
      <c r="O241" s="33">
        <v>0</v>
      </c>
      <c r="P241" s="33">
        <v>0</v>
      </c>
      <c r="Q241" s="33">
        <v>0</v>
      </c>
      <c r="R241" s="33">
        <v>0</v>
      </c>
      <c r="S241" s="33">
        <f>SUM(J241:R241)</f>
        <v>69531.179999999993</v>
      </c>
      <c r="AG241" s="52"/>
      <c r="AH241" s="52"/>
      <c r="AI241" s="52"/>
      <c r="AJ241" s="52"/>
      <c r="AM241" s="44"/>
      <c r="AV241" s="44"/>
    </row>
    <row r="242" spans="1:48" ht="55.5" customHeight="1" x14ac:dyDescent="0.25">
      <c r="A242" s="190"/>
      <c r="B242" s="177"/>
      <c r="C242" s="173"/>
      <c r="D242" s="140" t="s">
        <v>321</v>
      </c>
      <c r="E242" s="141">
        <v>915</v>
      </c>
      <c r="F242" s="142" t="s">
        <v>60</v>
      </c>
      <c r="G242" s="142" t="s">
        <v>246</v>
      </c>
      <c r="H242" s="142" t="s">
        <v>263</v>
      </c>
      <c r="I242" s="33">
        <v>0</v>
      </c>
      <c r="J242" s="33">
        <v>0</v>
      </c>
      <c r="K242" s="33">
        <v>0</v>
      </c>
      <c r="L242" s="33">
        <v>0</v>
      </c>
      <c r="M242" s="33">
        <v>0</v>
      </c>
      <c r="N242" s="33">
        <v>0</v>
      </c>
      <c r="O242" s="33">
        <f>O274</f>
        <v>60875.87</v>
      </c>
      <c r="P242" s="33">
        <f>P274</f>
        <v>0</v>
      </c>
      <c r="Q242" s="33">
        <f>Q274</f>
        <v>0</v>
      </c>
      <c r="R242" s="33">
        <f>R274</f>
        <v>0</v>
      </c>
      <c r="S242" s="33">
        <f>SUM(J242:R242)</f>
        <v>60875.87</v>
      </c>
      <c r="AG242" s="52"/>
      <c r="AH242" s="52"/>
      <c r="AI242" s="52"/>
      <c r="AJ242" s="52"/>
      <c r="AM242" s="44"/>
      <c r="AV242" s="44"/>
    </row>
    <row r="243" spans="1:48" ht="46.5" customHeight="1" x14ac:dyDescent="0.25">
      <c r="A243" s="190"/>
      <c r="B243" s="177"/>
      <c r="C243" s="173"/>
      <c r="D243" s="140" t="s">
        <v>261</v>
      </c>
      <c r="E243" s="141">
        <v>911</v>
      </c>
      <c r="F243" s="142" t="s">
        <v>60</v>
      </c>
      <c r="G243" s="142" t="s">
        <v>246</v>
      </c>
      <c r="H243" s="141">
        <v>620</v>
      </c>
      <c r="I243" s="33">
        <v>0</v>
      </c>
      <c r="J243" s="33">
        <v>0</v>
      </c>
      <c r="K243" s="33">
        <f>K278</f>
        <v>450</v>
      </c>
      <c r="L243" s="33">
        <v>0</v>
      </c>
      <c r="M243" s="33">
        <v>0</v>
      </c>
      <c r="N243" s="33">
        <f>N278</f>
        <v>2129.89</v>
      </c>
      <c r="O243" s="33">
        <f>O278</f>
        <v>5244.51</v>
      </c>
      <c r="P243" s="33">
        <f>P278</f>
        <v>0</v>
      </c>
      <c r="Q243" s="33">
        <f>Q278</f>
        <v>0</v>
      </c>
      <c r="R243" s="33">
        <v>0</v>
      </c>
      <c r="S243" s="33">
        <f>SUM(J243:R243)</f>
        <v>7824.4</v>
      </c>
      <c r="AG243" s="52"/>
      <c r="AH243" s="52"/>
      <c r="AI243" s="52"/>
      <c r="AJ243" s="52"/>
      <c r="AM243" s="44"/>
      <c r="AV243" s="44"/>
    </row>
    <row r="244" spans="1:48" ht="75" customHeight="1" x14ac:dyDescent="0.25">
      <c r="A244" s="190"/>
      <c r="B244" s="177"/>
      <c r="C244" s="173"/>
      <c r="D244" s="147" t="s">
        <v>13</v>
      </c>
      <c r="E244" s="142" t="s">
        <v>53</v>
      </c>
      <c r="F244" s="142" t="s">
        <v>60</v>
      </c>
      <c r="G244" s="142" t="s">
        <v>246</v>
      </c>
      <c r="H244" s="142" t="s">
        <v>74</v>
      </c>
      <c r="I244" s="33">
        <v>0</v>
      </c>
      <c r="J244" s="33">
        <f t="shared" ref="J244:R244" si="122">J246+J247+J250+J251+J254+J257+J260</f>
        <v>10820.24</v>
      </c>
      <c r="K244" s="33">
        <f t="shared" si="122"/>
        <v>5683.0385200000001</v>
      </c>
      <c r="L244" s="33">
        <f t="shared" si="122"/>
        <v>5422.12</v>
      </c>
      <c r="M244" s="33">
        <f t="shared" si="122"/>
        <v>5920.39</v>
      </c>
      <c r="N244" s="33">
        <f t="shared" si="122"/>
        <v>5986.07</v>
      </c>
      <c r="O244" s="33">
        <f t="shared" si="122"/>
        <v>28337.309999999998</v>
      </c>
      <c r="P244" s="33">
        <f t="shared" si="122"/>
        <v>0</v>
      </c>
      <c r="Q244" s="33">
        <f t="shared" si="122"/>
        <v>0</v>
      </c>
      <c r="R244" s="33">
        <f t="shared" si="122"/>
        <v>0</v>
      </c>
      <c r="S244" s="33">
        <f>SUM(J244:R244)</f>
        <v>62169.168519999992</v>
      </c>
      <c r="AG244" s="52"/>
      <c r="AH244" s="52"/>
      <c r="AI244" s="52"/>
      <c r="AJ244" s="52"/>
      <c r="AM244" s="44"/>
      <c r="AV244" s="44"/>
    </row>
    <row r="245" spans="1:48" ht="24.75" hidden="1" customHeight="1" x14ac:dyDescent="0.25">
      <c r="A245" s="190"/>
      <c r="B245" s="177"/>
      <c r="C245" s="173"/>
      <c r="D245" s="169" t="s">
        <v>23</v>
      </c>
      <c r="E245" s="166">
        <v>919</v>
      </c>
      <c r="F245" s="165" t="s">
        <v>60</v>
      </c>
      <c r="G245" s="142" t="s">
        <v>246</v>
      </c>
      <c r="H245" s="142" t="s">
        <v>245</v>
      </c>
      <c r="I245" s="33" t="e">
        <f>#REF!</f>
        <v>#REF!</v>
      </c>
      <c r="J245" s="33">
        <v>0</v>
      </c>
      <c r="K245" s="33">
        <v>0</v>
      </c>
      <c r="L245" s="33">
        <v>0</v>
      </c>
      <c r="M245" s="33">
        <v>0</v>
      </c>
      <c r="N245" s="33">
        <v>0</v>
      </c>
      <c r="O245" s="33">
        <v>0</v>
      </c>
      <c r="P245" s="33"/>
      <c r="Q245" s="33"/>
      <c r="R245" s="33"/>
      <c r="S245" s="33"/>
      <c r="AG245" s="52"/>
      <c r="AH245" s="52"/>
      <c r="AI245" s="52"/>
      <c r="AJ245" s="52"/>
      <c r="AM245" s="44"/>
      <c r="AV245" s="44"/>
    </row>
    <row r="246" spans="1:48" ht="60.75" customHeight="1" x14ac:dyDescent="0.25">
      <c r="A246" s="190"/>
      <c r="B246" s="177"/>
      <c r="C246" s="173"/>
      <c r="D246" s="169"/>
      <c r="E246" s="166"/>
      <c r="F246" s="165"/>
      <c r="G246" s="142" t="s">
        <v>246</v>
      </c>
      <c r="H246" s="142" t="s">
        <v>262</v>
      </c>
      <c r="I246" s="33">
        <v>0</v>
      </c>
      <c r="J246" s="33">
        <f t="shared" ref="J246:R246" si="123">J294</f>
        <v>1286.5</v>
      </c>
      <c r="K246" s="33">
        <f t="shared" si="123"/>
        <v>872.6</v>
      </c>
      <c r="L246" s="33">
        <f t="shared" si="123"/>
        <v>861.52</v>
      </c>
      <c r="M246" s="33">
        <f t="shared" si="123"/>
        <v>936.56</v>
      </c>
      <c r="N246" s="33">
        <f t="shared" si="123"/>
        <v>838.57</v>
      </c>
      <c r="O246" s="33">
        <f t="shared" si="123"/>
        <v>4015.97</v>
      </c>
      <c r="P246" s="33">
        <f t="shared" si="123"/>
        <v>0</v>
      </c>
      <c r="Q246" s="33">
        <f t="shared" si="123"/>
        <v>0</v>
      </c>
      <c r="R246" s="33">
        <f t="shared" si="123"/>
        <v>0</v>
      </c>
      <c r="S246" s="33">
        <f>SUM(J246:R246)</f>
        <v>8811.7199999999993</v>
      </c>
      <c r="AG246" s="52"/>
      <c r="AH246" s="52"/>
      <c r="AI246" s="52"/>
      <c r="AJ246" s="52"/>
      <c r="AM246" s="44"/>
      <c r="AV246" s="44"/>
    </row>
    <row r="247" spans="1:48" ht="50.25" customHeight="1" x14ac:dyDescent="0.25">
      <c r="A247" s="190"/>
      <c r="B247" s="177"/>
      <c r="C247" s="173"/>
      <c r="D247" s="169" t="s">
        <v>24</v>
      </c>
      <c r="E247" s="166">
        <v>922</v>
      </c>
      <c r="F247" s="165" t="s">
        <v>60</v>
      </c>
      <c r="G247" s="142" t="s">
        <v>246</v>
      </c>
      <c r="H247" s="142" t="s">
        <v>262</v>
      </c>
      <c r="I247" s="33">
        <f>I248+I249</f>
        <v>0</v>
      </c>
      <c r="J247" s="33">
        <f t="shared" ref="J247:R247" si="124">J298</f>
        <v>1921.75</v>
      </c>
      <c r="K247" s="33">
        <f t="shared" si="124"/>
        <v>703.37</v>
      </c>
      <c r="L247" s="33">
        <f t="shared" si="124"/>
        <v>828.5</v>
      </c>
      <c r="M247" s="33">
        <f t="shared" si="124"/>
        <v>914.25</v>
      </c>
      <c r="N247" s="33">
        <f t="shared" si="124"/>
        <v>847.2</v>
      </c>
      <c r="O247" s="33">
        <f t="shared" si="124"/>
        <v>4310.66</v>
      </c>
      <c r="P247" s="33">
        <f t="shared" si="124"/>
        <v>0</v>
      </c>
      <c r="Q247" s="33">
        <f t="shared" si="124"/>
        <v>0</v>
      </c>
      <c r="R247" s="33">
        <f t="shared" si="124"/>
        <v>0</v>
      </c>
      <c r="S247" s="33">
        <f>SUM(J247:R247)</f>
        <v>9525.73</v>
      </c>
      <c r="AG247" s="52"/>
      <c r="AH247" s="52"/>
      <c r="AI247" s="52"/>
      <c r="AJ247" s="52"/>
      <c r="AM247" s="44"/>
      <c r="AV247" s="44"/>
    </row>
    <row r="248" spans="1:48" ht="24.75" hidden="1" customHeight="1" x14ac:dyDescent="0.25">
      <c r="A248" s="190"/>
      <c r="B248" s="177"/>
      <c r="C248" s="173"/>
      <c r="D248" s="169"/>
      <c r="E248" s="166"/>
      <c r="F248" s="165"/>
      <c r="G248" s="142" t="s">
        <v>246</v>
      </c>
      <c r="H248" s="142" t="s">
        <v>235</v>
      </c>
      <c r="I248" s="33">
        <v>0</v>
      </c>
      <c r="J248" s="33">
        <f t="shared" ref="J248:O248" si="125">J302</f>
        <v>249.8</v>
      </c>
      <c r="K248" s="33">
        <f t="shared" si="125"/>
        <v>0</v>
      </c>
      <c r="L248" s="33">
        <f t="shared" si="125"/>
        <v>0</v>
      </c>
      <c r="M248" s="33">
        <f t="shared" si="125"/>
        <v>0</v>
      </c>
      <c r="N248" s="33">
        <f t="shared" si="125"/>
        <v>0</v>
      </c>
      <c r="O248" s="33">
        <f t="shared" si="125"/>
        <v>0</v>
      </c>
      <c r="P248" s="33">
        <f>P302</f>
        <v>0</v>
      </c>
      <c r="Q248" s="33"/>
      <c r="R248" s="33"/>
      <c r="S248" s="33"/>
      <c r="AG248" s="52"/>
      <c r="AH248" s="52"/>
      <c r="AI248" s="52"/>
      <c r="AJ248" s="52"/>
      <c r="AM248" s="44"/>
      <c r="AV248" s="44"/>
    </row>
    <row r="249" spans="1:48" ht="24.75" hidden="1" customHeight="1" x14ac:dyDescent="0.25">
      <c r="A249" s="190"/>
      <c r="B249" s="177"/>
      <c r="C249" s="173"/>
      <c r="D249" s="169"/>
      <c r="E249" s="166"/>
      <c r="F249" s="165"/>
      <c r="G249" s="142" t="s">
        <v>246</v>
      </c>
      <c r="H249" s="142" t="s">
        <v>234</v>
      </c>
      <c r="I249" s="33">
        <v>0</v>
      </c>
      <c r="J249" s="33">
        <f t="shared" ref="J249:O249" si="126">J306</f>
        <v>1671.95</v>
      </c>
      <c r="K249" s="33">
        <f t="shared" si="126"/>
        <v>740.89631999999995</v>
      </c>
      <c r="L249" s="33">
        <f t="shared" si="126"/>
        <v>820.21</v>
      </c>
      <c r="M249" s="33">
        <f t="shared" si="126"/>
        <v>855.15</v>
      </c>
      <c r="N249" s="33">
        <f t="shared" si="126"/>
        <v>855.15</v>
      </c>
      <c r="O249" s="33">
        <f t="shared" si="126"/>
        <v>855.15</v>
      </c>
      <c r="P249" s="33">
        <f>P306</f>
        <v>0</v>
      </c>
      <c r="Q249" s="33"/>
      <c r="R249" s="33"/>
      <c r="S249" s="33"/>
      <c r="AG249" s="52"/>
      <c r="AH249" s="52"/>
      <c r="AI249" s="52"/>
      <c r="AJ249" s="52"/>
      <c r="AM249" s="44"/>
      <c r="AV249" s="44"/>
    </row>
    <row r="250" spans="1:48" ht="42.75" customHeight="1" x14ac:dyDescent="0.25">
      <c r="A250" s="190"/>
      <c r="B250" s="177"/>
      <c r="C250" s="173"/>
      <c r="D250" s="147" t="s">
        <v>25</v>
      </c>
      <c r="E250" s="141">
        <v>925</v>
      </c>
      <c r="F250" s="142" t="s">
        <v>60</v>
      </c>
      <c r="G250" s="142" t="s">
        <v>246</v>
      </c>
      <c r="H250" s="142" t="s">
        <v>87</v>
      </c>
      <c r="I250" s="33">
        <v>0</v>
      </c>
      <c r="J250" s="33">
        <f t="shared" ref="J250:R250" si="127">J310</f>
        <v>2241.86</v>
      </c>
      <c r="K250" s="33">
        <f t="shared" si="127"/>
        <v>829.92840999999999</v>
      </c>
      <c r="L250" s="33">
        <f t="shared" si="127"/>
        <v>533.6</v>
      </c>
      <c r="M250" s="33">
        <f t="shared" si="127"/>
        <v>586.9</v>
      </c>
      <c r="N250" s="33">
        <f t="shared" si="127"/>
        <v>740.99</v>
      </c>
      <c r="O250" s="33">
        <f t="shared" si="127"/>
        <v>3410.57</v>
      </c>
      <c r="P250" s="33">
        <f t="shared" si="127"/>
        <v>0</v>
      </c>
      <c r="Q250" s="33">
        <f t="shared" si="127"/>
        <v>0</v>
      </c>
      <c r="R250" s="33">
        <f t="shared" si="127"/>
        <v>0</v>
      </c>
      <c r="S250" s="33">
        <f>SUM(J250:R250)</f>
        <v>8343.8484100000005</v>
      </c>
      <c r="AG250" s="52"/>
      <c r="AH250" s="52"/>
      <c r="AI250" s="52"/>
      <c r="AJ250" s="52"/>
      <c r="AM250" s="44"/>
      <c r="AV250" s="44"/>
    </row>
    <row r="251" spans="1:48" ht="56.25" customHeight="1" x14ac:dyDescent="0.25">
      <c r="A251" s="190"/>
      <c r="B251" s="177"/>
      <c r="C251" s="173"/>
      <c r="D251" s="169" t="s">
        <v>26</v>
      </c>
      <c r="E251" s="166">
        <v>928</v>
      </c>
      <c r="F251" s="165" t="s">
        <v>60</v>
      </c>
      <c r="G251" s="142" t="s">
        <v>246</v>
      </c>
      <c r="H251" s="142" t="s">
        <v>262</v>
      </c>
      <c r="I251" s="33">
        <f>I252+I253</f>
        <v>0</v>
      </c>
      <c r="J251" s="33">
        <f t="shared" ref="J251:R251" si="128">J314</f>
        <v>1415.8799999999999</v>
      </c>
      <c r="K251" s="33">
        <f t="shared" si="128"/>
        <v>753.7</v>
      </c>
      <c r="L251" s="33">
        <f t="shared" si="128"/>
        <v>764.97</v>
      </c>
      <c r="M251" s="33">
        <f t="shared" si="128"/>
        <v>1341.56</v>
      </c>
      <c r="N251" s="33">
        <f t="shared" si="128"/>
        <v>809.83</v>
      </c>
      <c r="O251" s="33">
        <f t="shared" si="128"/>
        <v>4868.99</v>
      </c>
      <c r="P251" s="33">
        <f t="shared" si="128"/>
        <v>0</v>
      </c>
      <c r="Q251" s="33">
        <f t="shared" si="128"/>
        <v>0</v>
      </c>
      <c r="R251" s="33">
        <f t="shared" si="128"/>
        <v>0</v>
      </c>
      <c r="S251" s="33">
        <f>SUM(J251:R251)</f>
        <v>9954.93</v>
      </c>
      <c r="AG251" s="52"/>
      <c r="AH251" s="52"/>
      <c r="AI251" s="52"/>
      <c r="AJ251" s="52"/>
      <c r="AM251" s="44"/>
      <c r="AV251" s="44"/>
    </row>
    <row r="252" spans="1:48" ht="24.75" hidden="1" customHeight="1" x14ac:dyDescent="0.25">
      <c r="A252" s="190"/>
      <c r="B252" s="177"/>
      <c r="C252" s="173"/>
      <c r="D252" s="169"/>
      <c r="E252" s="166"/>
      <c r="F252" s="165"/>
      <c r="G252" s="142" t="s">
        <v>246</v>
      </c>
      <c r="H252" s="142" t="s">
        <v>235</v>
      </c>
      <c r="I252" s="33">
        <v>0</v>
      </c>
      <c r="J252" s="33">
        <f t="shared" ref="J252:O252" si="129">J318</f>
        <v>102.86</v>
      </c>
      <c r="K252" s="33">
        <f t="shared" si="129"/>
        <v>0</v>
      </c>
      <c r="L252" s="33">
        <f t="shared" si="129"/>
        <v>0</v>
      </c>
      <c r="M252" s="33">
        <f t="shared" si="129"/>
        <v>0</v>
      </c>
      <c r="N252" s="33">
        <f t="shared" si="129"/>
        <v>0</v>
      </c>
      <c r="O252" s="33">
        <f t="shared" si="129"/>
        <v>0</v>
      </c>
      <c r="P252" s="33">
        <f>P318</f>
        <v>0</v>
      </c>
      <c r="Q252" s="33"/>
      <c r="R252" s="33"/>
      <c r="S252" s="33"/>
      <c r="AG252" s="52"/>
      <c r="AH252" s="52"/>
      <c r="AI252" s="52"/>
      <c r="AJ252" s="52"/>
      <c r="AM252" s="44"/>
      <c r="AV252" s="44"/>
    </row>
    <row r="253" spans="1:48" ht="32.25" hidden="1" customHeight="1" x14ac:dyDescent="0.25">
      <c r="A253" s="190"/>
      <c r="B253" s="177"/>
      <c r="C253" s="173"/>
      <c r="D253" s="169"/>
      <c r="E253" s="166"/>
      <c r="F253" s="165"/>
      <c r="G253" s="142" t="s">
        <v>246</v>
      </c>
      <c r="H253" s="142" t="s">
        <v>234</v>
      </c>
      <c r="I253" s="33">
        <v>0</v>
      </c>
      <c r="J253" s="33">
        <f t="shared" ref="J253:O253" si="130">J322</f>
        <v>1313.01</v>
      </c>
      <c r="K253" s="33">
        <f t="shared" si="130"/>
        <v>753.69949000000008</v>
      </c>
      <c r="L253" s="33">
        <f t="shared" si="130"/>
        <v>820.21</v>
      </c>
      <c r="M253" s="33">
        <f t="shared" si="130"/>
        <v>855.16</v>
      </c>
      <c r="N253" s="33">
        <f t="shared" si="130"/>
        <v>855.16</v>
      </c>
      <c r="O253" s="33">
        <f t="shared" si="130"/>
        <v>855.16</v>
      </c>
      <c r="P253" s="33">
        <f>P322</f>
        <v>0</v>
      </c>
      <c r="Q253" s="33"/>
      <c r="R253" s="33"/>
      <c r="S253" s="33"/>
      <c r="AG253" s="52"/>
      <c r="AH253" s="52"/>
      <c r="AI253" s="52"/>
      <c r="AJ253" s="52"/>
      <c r="AM253" s="44"/>
      <c r="AV253" s="44"/>
    </row>
    <row r="254" spans="1:48" ht="59.25" customHeight="1" x14ac:dyDescent="0.25">
      <c r="A254" s="190"/>
      <c r="B254" s="177"/>
      <c r="C254" s="173"/>
      <c r="D254" s="168" t="s">
        <v>27</v>
      </c>
      <c r="E254" s="166">
        <v>931</v>
      </c>
      <c r="F254" s="165" t="s">
        <v>60</v>
      </c>
      <c r="G254" s="142" t="s">
        <v>246</v>
      </c>
      <c r="H254" s="142" t="s">
        <v>262</v>
      </c>
      <c r="I254" s="33">
        <f>I255+I256</f>
        <v>0</v>
      </c>
      <c r="J254" s="33">
        <f t="shared" ref="J254:R254" si="131">J326</f>
        <v>1730.73</v>
      </c>
      <c r="K254" s="33">
        <f t="shared" si="131"/>
        <v>776.98</v>
      </c>
      <c r="L254" s="33">
        <f t="shared" si="131"/>
        <v>1156.8</v>
      </c>
      <c r="M254" s="33">
        <f t="shared" si="131"/>
        <v>632.80999999999995</v>
      </c>
      <c r="N254" s="33">
        <f t="shared" si="131"/>
        <v>754.49</v>
      </c>
      <c r="O254" s="33">
        <f t="shared" si="131"/>
        <v>3861.3900000000003</v>
      </c>
      <c r="P254" s="33">
        <f t="shared" si="131"/>
        <v>0</v>
      </c>
      <c r="Q254" s="33">
        <f t="shared" si="131"/>
        <v>0</v>
      </c>
      <c r="R254" s="33">
        <f t="shared" si="131"/>
        <v>0</v>
      </c>
      <c r="S254" s="33">
        <f>SUM(J254:R254)</f>
        <v>8913.2000000000007</v>
      </c>
      <c r="AG254" s="52"/>
      <c r="AH254" s="52"/>
      <c r="AI254" s="52"/>
      <c r="AJ254" s="52"/>
      <c r="AM254" s="44"/>
      <c r="AV254" s="44"/>
    </row>
    <row r="255" spans="1:48" ht="24.75" hidden="1" customHeight="1" x14ac:dyDescent="0.25">
      <c r="A255" s="190"/>
      <c r="B255" s="177"/>
      <c r="C255" s="173"/>
      <c r="D255" s="168"/>
      <c r="E255" s="166"/>
      <c r="F255" s="165"/>
      <c r="G255" s="142" t="s">
        <v>246</v>
      </c>
      <c r="H255" s="142" t="s">
        <v>235</v>
      </c>
      <c r="I255" s="33">
        <v>0</v>
      </c>
      <c r="J255" s="33">
        <f t="shared" ref="J255:O255" si="132">J330</f>
        <v>222.58</v>
      </c>
      <c r="K255" s="33">
        <f t="shared" si="132"/>
        <v>0</v>
      </c>
      <c r="L255" s="33">
        <f t="shared" si="132"/>
        <v>0</v>
      </c>
      <c r="M255" s="33">
        <f t="shared" si="132"/>
        <v>0</v>
      </c>
      <c r="N255" s="33">
        <f t="shared" si="132"/>
        <v>0</v>
      </c>
      <c r="O255" s="33">
        <f t="shared" si="132"/>
        <v>0</v>
      </c>
      <c r="P255" s="33">
        <f>P330</f>
        <v>0</v>
      </c>
      <c r="Q255" s="33"/>
      <c r="R255" s="33"/>
      <c r="S255" s="33"/>
      <c r="AG255" s="52"/>
      <c r="AH255" s="52"/>
      <c r="AI255" s="52"/>
      <c r="AJ255" s="52"/>
      <c r="AM255" s="44"/>
      <c r="AV255" s="44"/>
    </row>
    <row r="256" spans="1:48" ht="39.75" hidden="1" customHeight="1" x14ac:dyDescent="0.25">
      <c r="A256" s="190"/>
      <c r="B256" s="177"/>
      <c r="C256" s="173"/>
      <c r="D256" s="168"/>
      <c r="E256" s="166"/>
      <c r="F256" s="165"/>
      <c r="G256" s="142" t="s">
        <v>246</v>
      </c>
      <c r="H256" s="142" t="s">
        <v>234</v>
      </c>
      <c r="I256" s="33">
        <v>0</v>
      </c>
      <c r="J256" s="33">
        <f t="shared" ref="J256:O256" si="133">J334</f>
        <v>1508.15</v>
      </c>
      <c r="K256" s="33">
        <f t="shared" si="133"/>
        <v>776.98033999999996</v>
      </c>
      <c r="L256" s="33">
        <f t="shared" si="133"/>
        <v>820.22</v>
      </c>
      <c r="M256" s="33">
        <f t="shared" si="133"/>
        <v>855.15300000000002</v>
      </c>
      <c r="N256" s="33">
        <f t="shared" si="133"/>
        <v>855.15300000000002</v>
      </c>
      <c r="O256" s="33">
        <f t="shared" si="133"/>
        <v>855.15300000000002</v>
      </c>
      <c r="P256" s="33">
        <f>P334</f>
        <v>0</v>
      </c>
      <c r="Q256" s="33"/>
      <c r="R256" s="33"/>
      <c r="S256" s="33"/>
      <c r="AG256" s="52"/>
      <c r="AH256" s="52"/>
      <c r="AI256" s="52"/>
      <c r="AJ256" s="52"/>
      <c r="AM256" s="44"/>
      <c r="AV256" s="44"/>
    </row>
    <row r="257" spans="1:80" ht="47.25" customHeight="1" x14ac:dyDescent="0.25">
      <c r="A257" s="190"/>
      <c r="B257" s="177"/>
      <c r="C257" s="173"/>
      <c r="D257" s="169" t="s">
        <v>28</v>
      </c>
      <c r="E257" s="166">
        <v>934</v>
      </c>
      <c r="F257" s="165" t="s">
        <v>60</v>
      </c>
      <c r="G257" s="142" t="s">
        <v>246</v>
      </c>
      <c r="H257" s="142" t="s">
        <v>262</v>
      </c>
      <c r="I257" s="33">
        <f>I258+I259</f>
        <v>0</v>
      </c>
      <c r="J257" s="33">
        <f t="shared" ref="J257:R257" si="134">J338</f>
        <v>1260.21</v>
      </c>
      <c r="K257" s="33">
        <f t="shared" si="134"/>
        <v>1394.45011</v>
      </c>
      <c r="L257" s="33">
        <f t="shared" si="134"/>
        <v>1215.3599999999999</v>
      </c>
      <c r="M257" s="33">
        <f t="shared" si="134"/>
        <v>1211.97</v>
      </c>
      <c r="N257" s="33">
        <f t="shared" si="134"/>
        <v>1458.56</v>
      </c>
      <c r="O257" s="33">
        <f t="shared" si="134"/>
        <v>6664.26</v>
      </c>
      <c r="P257" s="33">
        <f t="shared" si="134"/>
        <v>0</v>
      </c>
      <c r="Q257" s="33">
        <f t="shared" si="134"/>
        <v>0</v>
      </c>
      <c r="R257" s="33">
        <f t="shared" si="134"/>
        <v>0</v>
      </c>
      <c r="S257" s="33">
        <f>SUM(J257:R257)</f>
        <v>13204.81011</v>
      </c>
      <c r="AG257" s="52"/>
      <c r="AH257" s="52"/>
      <c r="AI257" s="52"/>
      <c r="AJ257" s="52"/>
      <c r="AM257" s="44"/>
      <c r="AV257" s="44"/>
    </row>
    <row r="258" spans="1:80" ht="40.5" hidden="1" customHeight="1" x14ac:dyDescent="0.25">
      <c r="A258" s="190"/>
      <c r="B258" s="177"/>
      <c r="C258" s="173"/>
      <c r="D258" s="169"/>
      <c r="E258" s="166"/>
      <c r="F258" s="165"/>
      <c r="G258" s="142" t="s">
        <v>246</v>
      </c>
      <c r="H258" s="142" t="s">
        <v>235</v>
      </c>
      <c r="I258" s="33">
        <v>0</v>
      </c>
      <c r="J258" s="33">
        <f t="shared" ref="J258:O258" si="135">J342</f>
        <v>380.44</v>
      </c>
      <c r="K258" s="33">
        <f t="shared" si="135"/>
        <v>105.16021000000001</v>
      </c>
      <c r="L258" s="33">
        <f t="shared" si="135"/>
        <v>0</v>
      </c>
      <c r="M258" s="33">
        <f t="shared" si="135"/>
        <v>0</v>
      </c>
      <c r="N258" s="33">
        <f t="shared" si="135"/>
        <v>0</v>
      </c>
      <c r="O258" s="33">
        <f t="shared" si="135"/>
        <v>0</v>
      </c>
      <c r="P258" s="33">
        <f>P342</f>
        <v>0</v>
      </c>
      <c r="Q258" s="33"/>
      <c r="R258" s="33"/>
      <c r="S258" s="33"/>
      <c r="AG258" s="52"/>
      <c r="AH258" s="52"/>
      <c r="AI258" s="52"/>
      <c r="AJ258" s="52"/>
      <c r="AM258" s="44"/>
      <c r="CB258" s="44">
        <f>I259+I312</f>
        <v>0</v>
      </c>
    </row>
    <row r="259" spans="1:80" ht="27.75" hidden="1" customHeight="1" x14ac:dyDescent="0.25">
      <c r="A259" s="190"/>
      <c r="B259" s="177"/>
      <c r="C259" s="173"/>
      <c r="D259" s="169"/>
      <c r="E259" s="166"/>
      <c r="F259" s="165"/>
      <c r="G259" s="142" t="s">
        <v>246</v>
      </c>
      <c r="H259" s="142" t="s">
        <v>234</v>
      </c>
      <c r="I259" s="33">
        <v>0</v>
      </c>
      <c r="J259" s="33">
        <f>J346</f>
        <v>879.77</v>
      </c>
      <c r="K259" s="33">
        <f>K346</f>
        <v>1289.2899</v>
      </c>
      <c r="L259" s="33">
        <f>L346</f>
        <v>820.22</v>
      </c>
      <c r="M259" s="33">
        <f>M346</f>
        <v>855.16</v>
      </c>
      <c r="N259" s="33">
        <f>N346</f>
        <v>855.16</v>
      </c>
      <c r="O259" s="33">
        <v>855.16</v>
      </c>
      <c r="P259" s="33">
        <v>856.16</v>
      </c>
      <c r="Q259" s="33"/>
      <c r="R259" s="33"/>
      <c r="S259" s="33"/>
      <c r="AG259" s="52"/>
      <c r="AH259" s="52"/>
      <c r="AI259" s="52"/>
      <c r="AJ259" s="52"/>
      <c r="AM259" s="44"/>
      <c r="AV259" s="44" t="e">
        <f>AV311+#REF!+#REF!</f>
        <v>#REF!</v>
      </c>
      <c r="CA259" s="44">
        <f>I262+I314</f>
        <v>0</v>
      </c>
      <c r="CB259" s="44">
        <f>I261+I313</f>
        <v>0</v>
      </c>
    </row>
    <row r="260" spans="1:80" ht="60.75" customHeight="1" x14ac:dyDescent="0.25">
      <c r="A260" s="190"/>
      <c r="B260" s="177"/>
      <c r="C260" s="173"/>
      <c r="D260" s="168" t="s">
        <v>29</v>
      </c>
      <c r="E260" s="166">
        <v>937</v>
      </c>
      <c r="F260" s="165" t="s">
        <v>60</v>
      </c>
      <c r="G260" s="142" t="s">
        <v>246</v>
      </c>
      <c r="H260" s="142" t="s">
        <v>262</v>
      </c>
      <c r="I260" s="33">
        <v>0</v>
      </c>
      <c r="J260" s="33">
        <f t="shared" ref="J260:R260" si="136">J350</f>
        <v>963.31</v>
      </c>
      <c r="K260" s="33">
        <f t="shared" si="136"/>
        <v>352.01</v>
      </c>
      <c r="L260" s="33">
        <f t="shared" si="136"/>
        <v>61.37</v>
      </c>
      <c r="M260" s="33">
        <f t="shared" si="136"/>
        <v>296.33999999999997</v>
      </c>
      <c r="N260" s="33">
        <f t="shared" si="136"/>
        <v>536.42999999999995</v>
      </c>
      <c r="O260" s="33">
        <f t="shared" si="136"/>
        <v>1205.47</v>
      </c>
      <c r="P260" s="33">
        <f t="shared" si="136"/>
        <v>0</v>
      </c>
      <c r="Q260" s="33">
        <f t="shared" si="136"/>
        <v>0</v>
      </c>
      <c r="R260" s="33">
        <f t="shared" si="136"/>
        <v>0</v>
      </c>
      <c r="S260" s="33">
        <f>SUM(J260:R260)</f>
        <v>3414.9299999999994</v>
      </c>
      <c r="AG260" s="52"/>
      <c r="AH260" s="52"/>
      <c r="AI260" s="52"/>
      <c r="AJ260" s="52"/>
      <c r="AM260" s="44"/>
      <c r="AV260" s="44"/>
      <c r="CA260" s="44"/>
      <c r="CB260" s="44"/>
    </row>
    <row r="261" spans="1:80" ht="27.75" hidden="1" customHeight="1" x14ac:dyDescent="0.25">
      <c r="A261" s="152"/>
      <c r="B261" s="145"/>
      <c r="C261" s="173"/>
      <c r="D261" s="168"/>
      <c r="E261" s="166"/>
      <c r="F261" s="165"/>
      <c r="G261" s="142" t="s">
        <v>246</v>
      </c>
      <c r="H261" s="142" t="s">
        <v>235</v>
      </c>
      <c r="I261" s="33">
        <v>0</v>
      </c>
      <c r="J261" s="33" t="e">
        <f>#REF!</f>
        <v>#REF!</v>
      </c>
      <c r="K261" s="33" t="e">
        <f>#REF!</f>
        <v>#REF!</v>
      </c>
      <c r="L261" s="33" t="e">
        <f>#REF!</f>
        <v>#REF!</v>
      </c>
      <c r="M261" s="33" t="e">
        <f>#REF!</f>
        <v>#REF!</v>
      </c>
      <c r="N261" s="33" t="e">
        <f>#REF!</f>
        <v>#REF!</v>
      </c>
      <c r="O261" s="33">
        <v>0</v>
      </c>
      <c r="P261" s="33"/>
      <c r="Q261" s="33"/>
      <c r="R261" s="33"/>
      <c r="S261" s="33"/>
      <c r="AG261" s="52"/>
      <c r="AH261" s="52"/>
      <c r="AI261" s="52"/>
      <c r="AJ261" s="52"/>
      <c r="AM261" s="44"/>
      <c r="CB261" s="44">
        <f>SUM(CB258:CB259)</f>
        <v>0</v>
      </c>
    </row>
    <row r="262" spans="1:80" ht="27.75" hidden="1" customHeight="1" x14ac:dyDescent="0.25">
      <c r="A262" s="152"/>
      <c r="B262" s="145"/>
      <c r="C262" s="173"/>
      <c r="D262" s="168"/>
      <c r="E262" s="166"/>
      <c r="F262" s="165"/>
      <c r="G262" s="142" t="s">
        <v>246</v>
      </c>
      <c r="H262" s="142" t="s">
        <v>234</v>
      </c>
      <c r="I262" s="33">
        <v>0</v>
      </c>
      <c r="J262" s="33" t="e">
        <f>#REF!</f>
        <v>#REF!</v>
      </c>
      <c r="K262" s="33" t="e">
        <f>#REF!</f>
        <v>#REF!</v>
      </c>
      <c r="L262" s="33" t="e">
        <f>#REF!</f>
        <v>#REF!</v>
      </c>
      <c r="M262" s="33" t="e">
        <f>#REF!</f>
        <v>#REF!</v>
      </c>
      <c r="N262" s="33" t="e">
        <f>#REF!</f>
        <v>#REF!</v>
      </c>
      <c r="O262" s="33">
        <v>855.15</v>
      </c>
      <c r="P262" s="33"/>
      <c r="Q262" s="33"/>
      <c r="R262" s="33"/>
      <c r="S262" s="33"/>
      <c r="AG262" s="52"/>
      <c r="AH262" s="52"/>
      <c r="AI262" s="52"/>
      <c r="AJ262" s="52"/>
      <c r="AM262" s="44"/>
      <c r="AV262" s="44" t="e">
        <f>AV313+#REF!+#REF!</f>
        <v>#REF!</v>
      </c>
    </row>
    <row r="263" spans="1:80" ht="56.25" x14ac:dyDescent="0.25">
      <c r="A263" s="190"/>
      <c r="B263" s="177"/>
      <c r="C263" s="150" t="s">
        <v>224</v>
      </c>
      <c r="D263" s="168"/>
      <c r="E263" s="166"/>
      <c r="F263" s="165" t="s">
        <v>60</v>
      </c>
      <c r="G263" s="142" t="s">
        <v>246</v>
      </c>
      <c r="H263" s="165"/>
      <c r="I263" s="33">
        <v>0</v>
      </c>
      <c r="J263" s="33">
        <f t="shared" ref="J263:R263" si="137">J264+J265+J266</f>
        <v>256141.04</v>
      </c>
      <c r="K263" s="33">
        <f t="shared" si="137"/>
        <v>299006.77</v>
      </c>
      <c r="L263" s="33">
        <f t="shared" si="137"/>
        <v>283034.49999999994</v>
      </c>
      <c r="M263" s="33">
        <f t="shared" si="137"/>
        <v>291511.05000000005</v>
      </c>
      <c r="N263" s="33">
        <f t="shared" si="137"/>
        <v>281988.32</v>
      </c>
      <c r="O263" s="33">
        <f t="shared" si="137"/>
        <v>315188.5</v>
      </c>
      <c r="P263" s="33">
        <f t="shared" si="137"/>
        <v>0</v>
      </c>
      <c r="Q263" s="33">
        <f t="shared" si="137"/>
        <v>0</v>
      </c>
      <c r="R263" s="33">
        <f t="shared" si="137"/>
        <v>0</v>
      </c>
      <c r="S263" s="33">
        <f>SUM(I263:R263)</f>
        <v>1726870.1800000002</v>
      </c>
      <c r="AG263" s="52"/>
      <c r="AH263" s="52"/>
      <c r="AI263" s="52"/>
      <c r="AJ263" s="52"/>
      <c r="AM263" s="44"/>
      <c r="AO263" s="35">
        <f>0.04+0.09+0.18+0.2+0.32+0.66+0.9</f>
        <v>2.39</v>
      </c>
      <c r="AV263" s="44"/>
    </row>
    <row r="264" spans="1:80" ht="56.25" x14ac:dyDescent="0.25">
      <c r="A264" s="190"/>
      <c r="B264" s="177"/>
      <c r="C264" s="53" t="s">
        <v>178</v>
      </c>
      <c r="D264" s="168"/>
      <c r="E264" s="166"/>
      <c r="F264" s="165"/>
      <c r="G264" s="142" t="s">
        <v>246</v>
      </c>
      <c r="H264" s="165"/>
      <c r="I264" s="33">
        <v>0</v>
      </c>
      <c r="J264" s="33">
        <f>J268</f>
        <v>228408.1</v>
      </c>
      <c r="K264" s="33">
        <f t="shared" ref="K264:N266" si="138">K268+K276</f>
        <v>271273.90000000002</v>
      </c>
      <c r="L264" s="33">
        <f t="shared" si="138"/>
        <v>255852.37</v>
      </c>
      <c r="M264" s="33">
        <f t="shared" si="138"/>
        <v>262437.96000000002</v>
      </c>
      <c r="N264" s="33">
        <f t="shared" si="138"/>
        <v>254619.77000000002</v>
      </c>
      <c r="O264" s="33">
        <f t="shared" ref="O264:Q266" si="139">O272+O276</f>
        <v>236614.71</v>
      </c>
      <c r="P264" s="33">
        <f t="shared" si="139"/>
        <v>0</v>
      </c>
      <c r="Q264" s="33">
        <f t="shared" si="139"/>
        <v>0</v>
      </c>
      <c r="R264" s="33">
        <v>0</v>
      </c>
      <c r="S264" s="33">
        <f>SUM(I264:R264)</f>
        <v>1509206.81</v>
      </c>
      <c r="AG264" s="52"/>
      <c r="AH264" s="52"/>
      <c r="AI264" s="52"/>
      <c r="AJ264" s="52"/>
      <c r="AM264" s="44"/>
      <c r="AO264" s="35">
        <f>0.19+0.12+0.88+0.2+0.77+0.23</f>
        <v>2.39</v>
      </c>
      <c r="AV264" s="44"/>
    </row>
    <row r="265" spans="1:80" ht="37.5" x14ac:dyDescent="0.25">
      <c r="A265" s="190"/>
      <c r="B265" s="177"/>
      <c r="C265" s="53" t="s">
        <v>179</v>
      </c>
      <c r="D265" s="168"/>
      <c r="E265" s="166"/>
      <c r="F265" s="165"/>
      <c r="G265" s="142" t="s">
        <v>246</v>
      </c>
      <c r="H265" s="165"/>
      <c r="I265" s="33">
        <v>0</v>
      </c>
      <c r="J265" s="33">
        <f>J269</f>
        <v>12021.47</v>
      </c>
      <c r="K265" s="33">
        <f t="shared" si="138"/>
        <v>14277.57</v>
      </c>
      <c r="L265" s="33">
        <f t="shared" si="138"/>
        <v>13465.91</v>
      </c>
      <c r="M265" s="33">
        <f t="shared" si="138"/>
        <v>13812.52</v>
      </c>
      <c r="N265" s="33">
        <f t="shared" si="138"/>
        <v>13401.04</v>
      </c>
      <c r="O265" s="33">
        <f t="shared" si="139"/>
        <v>12453.41</v>
      </c>
      <c r="P265" s="33">
        <f t="shared" si="139"/>
        <v>0</v>
      </c>
      <c r="Q265" s="33">
        <f t="shared" si="139"/>
        <v>0</v>
      </c>
      <c r="R265" s="33">
        <f>R273+R277</f>
        <v>0</v>
      </c>
      <c r="S265" s="33">
        <f>SUM(I265:R265)</f>
        <v>79431.920000000013</v>
      </c>
      <c r="AG265" s="52"/>
      <c r="AH265" s="52"/>
      <c r="AI265" s="52"/>
      <c r="AJ265" s="52"/>
      <c r="AM265" s="44"/>
      <c r="AO265" s="35">
        <f>0.53+0.9+0.62+0.64+0.04+0.75+0.21</f>
        <v>3.6900000000000004</v>
      </c>
      <c r="AV265" s="44"/>
    </row>
    <row r="266" spans="1:80" ht="37.5" x14ac:dyDescent="0.25">
      <c r="A266" s="190"/>
      <c r="B266" s="177"/>
      <c r="C266" s="53" t="s">
        <v>37</v>
      </c>
      <c r="D266" s="168"/>
      <c r="E266" s="166"/>
      <c r="F266" s="165"/>
      <c r="G266" s="142" t="s">
        <v>246</v>
      </c>
      <c r="H266" s="165"/>
      <c r="I266" s="33">
        <v>0</v>
      </c>
      <c r="J266" s="33">
        <f>J270</f>
        <v>15711.47</v>
      </c>
      <c r="K266" s="33">
        <f t="shared" si="138"/>
        <v>13455.3</v>
      </c>
      <c r="L266" s="33">
        <f t="shared" si="138"/>
        <v>13716.22</v>
      </c>
      <c r="M266" s="33">
        <f t="shared" si="138"/>
        <v>15260.57</v>
      </c>
      <c r="N266" s="33">
        <f t="shared" si="138"/>
        <v>13967.51</v>
      </c>
      <c r="O266" s="33">
        <f t="shared" si="139"/>
        <v>66120.38</v>
      </c>
      <c r="P266" s="33">
        <f t="shared" si="139"/>
        <v>0</v>
      </c>
      <c r="Q266" s="33">
        <f t="shared" si="139"/>
        <v>0</v>
      </c>
      <c r="R266" s="33">
        <f>R274+R278</f>
        <v>0</v>
      </c>
      <c r="S266" s="33">
        <f>SUM(I266:R266)</f>
        <v>138231.45000000001</v>
      </c>
      <c r="AG266" s="52"/>
      <c r="AH266" s="52"/>
      <c r="AI266" s="52"/>
      <c r="AJ266" s="52"/>
      <c r="AM266" s="44"/>
      <c r="AV266" s="44"/>
    </row>
    <row r="267" spans="1:80" ht="22.5" customHeight="1" x14ac:dyDescent="0.25">
      <c r="A267" s="190"/>
      <c r="B267" s="177"/>
      <c r="C267" s="151" t="s">
        <v>186</v>
      </c>
      <c r="D267" s="168" t="s">
        <v>30</v>
      </c>
      <c r="E267" s="166">
        <v>915</v>
      </c>
      <c r="F267" s="165" t="s">
        <v>60</v>
      </c>
      <c r="G267" s="142" t="s">
        <v>246</v>
      </c>
      <c r="H267" s="165" t="s">
        <v>263</v>
      </c>
      <c r="I267" s="33">
        <v>0</v>
      </c>
      <c r="J267" s="33">
        <f>J268+J269+J270</f>
        <v>256141.04</v>
      </c>
      <c r="K267" s="33">
        <f>SUM(K268:K270)</f>
        <v>289006.77</v>
      </c>
      <c r="L267" s="33">
        <f>L268+L269+L270</f>
        <v>283034.49999999994</v>
      </c>
      <c r="M267" s="33">
        <f>M268+M269+M270</f>
        <v>291511.05000000005</v>
      </c>
      <c r="N267" s="33">
        <f>N268+N269+N270</f>
        <v>238988.32</v>
      </c>
      <c r="O267" s="33">
        <v>0</v>
      </c>
      <c r="P267" s="33">
        <v>0</v>
      </c>
      <c r="Q267" s="33">
        <v>0</v>
      </c>
      <c r="R267" s="33">
        <v>0</v>
      </c>
      <c r="S267" s="33">
        <f t="shared" ref="S267:S327" si="140">SUM(I267:R267)</f>
        <v>1358681.6800000002</v>
      </c>
      <c r="AG267" s="52"/>
      <c r="AH267" s="52"/>
      <c r="AI267" s="52"/>
      <c r="AJ267" s="52"/>
      <c r="AM267" s="44"/>
      <c r="AO267" s="35">
        <f>0.04+0.09+0.18+0.2+0.32+0.67+0.9</f>
        <v>2.4</v>
      </c>
      <c r="AV267" s="44"/>
    </row>
    <row r="268" spans="1:80" ht="56.25" x14ac:dyDescent="0.25">
      <c r="A268" s="190"/>
      <c r="B268" s="177"/>
      <c r="C268" s="151" t="s">
        <v>178</v>
      </c>
      <c r="D268" s="168"/>
      <c r="E268" s="166"/>
      <c r="F268" s="165"/>
      <c r="G268" s="142" t="s">
        <v>246</v>
      </c>
      <c r="H268" s="165"/>
      <c r="I268" s="33">
        <v>0</v>
      </c>
      <c r="J268" s="33">
        <v>228408.1</v>
      </c>
      <c r="K268" s="33">
        <v>262201.40000000002</v>
      </c>
      <c r="L268" s="33">
        <v>255852.37</v>
      </c>
      <c r="M268" s="33">
        <v>262437.96000000002</v>
      </c>
      <c r="N268" s="33">
        <f>215793.16</f>
        <v>215793.16</v>
      </c>
      <c r="O268" s="33">
        <v>0</v>
      </c>
      <c r="P268" s="33">
        <v>0</v>
      </c>
      <c r="Q268" s="33">
        <v>0</v>
      </c>
      <c r="R268" s="33">
        <v>0</v>
      </c>
      <c r="S268" s="33">
        <f t="shared" si="140"/>
        <v>1224692.99</v>
      </c>
      <c r="AG268" s="52"/>
      <c r="AH268" s="52"/>
      <c r="AI268" s="52"/>
      <c r="AJ268" s="52"/>
      <c r="AM268" s="44"/>
      <c r="AO268" s="35">
        <f>0.19+0.62+0.88+0.2+0.16+0.23</f>
        <v>2.2799999999999998</v>
      </c>
      <c r="AV268" s="44"/>
    </row>
    <row r="269" spans="1:80" ht="37.5" x14ac:dyDescent="0.25">
      <c r="A269" s="190"/>
      <c r="B269" s="177"/>
      <c r="C269" s="151" t="s">
        <v>179</v>
      </c>
      <c r="D269" s="168"/>
      <c r="E269" s="166"/>
      <c r="F269" s="165"/>
      <c r="G269" s="142" t="s">
        <v>246</v>
      </c>
      <c r="H269" s="165"/>
      <c r="I269" s="33">
        <v>0</v>
      </c>
      <c r="J269" s="33">
        <v>12021.47</v>
      </c>
      <c r="K269" s="33">
        <v>13800.07</v>
      </c>
      <c r="L269" s="33">
        <v>13465.91</v>
      </c>
      <c r="M269" s="33">
        <v>13812.52</v>
      </c>
      <c r="N269" s="33">
        <v>11357.54</v>
      </c>
      <c r="O269" s="33">
        <v>0</v>
      </c>
      <c r="P269" s="33">
        <v>0</v>
      </c>
      <c r="Q269" s="33">
        <v>0</v>
      </c>
      <c r="R269" s="33">
        <v>0</v>
      </c>
      <c r="S269" s="33">
        <f t="shared" si="140"/>
        <v>64457.51</v>
      </c>
      <c r="AG269" s="52"/>
      <c r="AH269" s="52"/>
      <c r="AI269" s="52"/>
      <c r="AJ269" s="52"/>
      <c r="AM269" s="44"/>
      <c r="AO269" s="35">
        <f>0.53+0.4+0.62+0.64+0.54+0.75+0.21</f>
        <v>3.69</v>
      </c>
      <c r="AV269" s="44"/>
    </row>
    <row r="270" spans="1:80" ht="37.5" x14ac:dyDescent="0.25">
      <c r="A270" s="190"/>
      <c r="B270" s="177"/>
      <c r="C270" s="151" t="s">
        <v>37</v>
      </c>
      <c r="D270" s="168"/>
      <c r="E270" s="166"/>
      <c r="F270" s="165"/>
      <c r="G270" s="142" t="s">
        <v>246</v>
      </c>
      <c r="H270" s="165"/>
      <c r="I270" s="33">
        <v>0</v>
      </c>
      <c r="J270" s="33">
        <v>15711.47</v>
      </c>
      <c r="K270" s="33">
        <v>13005.3</v>
      </c>
      <c r="L270" s="33">
        <v>13716.22</v>
      </c>
      <c r="M270" s="33">
        <v>15260.57</v>
      </c>
      <c r="N270" s="33">
        <f>13967.51-2129.89</f>
        <v>11837.62</v>
      </c>
      <c r="O270" s="33">
        <v>0</v>
      </c>
      <c r="P270" s="33">
        <v>0</v>
      </c>
      <c r="Q270" s="33">
        <v>0</v>
      </c>
      <c r="R270" s="33">
        <v>0</v>
      </c>
      <c r="S270" s="33">
        <f>SUM(I270:R270)</f>
        <v>69531.179999999993</v>
      </c>
      <c r="AG270" s="52"/>
      <c r="AH270" s="52"/>
      <c r="AI270" s="52"/>
      <c r="AJ270" s="52"/>
      <c r="AM270" s="44"/>
      <c r="AV270" s="44"/>
    </row>
    <row r="271" spans="1:80" x14ac:dyDescent="0.25">
      <c r="A271" s="144"/>
      <c r="B271" s="145"/>
      <c r="C271" s="151" t="s">
        <v>186</v>
      </c>
      <c r="D271" s="168" t="s">
        <v>322</v>
      </c>
      <c r="E271" s="166">
        <v>915</v>
      </c>
      <c r="F271" s="165" t="s">
        <v>60</v>
      </c>
      <c r="G271" s="142" t="s">
        <v>246</v>
      </c>
      <c r="H271" s="165" t="s">
        <v>263</v>
      </c>
      <c r="I271" s="33">
        <v>0</v>
      </c>
      <c r="J271" s="33">
        <v>0</v>
      </c>
      <c r="K271" s="33">
        <v>0</v>
      </c>
      <c r="L271" s="33">
        <v>0</v>
      </c>
      <c r="M271" s="33">
        <v>0</v>
      </c>
      <c r="N271" s="33">
        <v>0</v>
      </c>
      <c r="O271" s="33">
        <f>O272+O273+O274</f>
        <v>290188.5</v>
      </c>
      <c r="P271" s="33">
        <f>P272+P273+P274</f>
        <v>0</v>
      </c>
      <c r="Q271" s="33">
        <f>Q272+Q273+Q274</f>
        <v>0</v>
      </c>
      <c r="R271" s="33">
        <f>R272+R273+R274</f>
        <v>0</v>
      </c>
      <c r="S271" s="33">
        <f t="shared" si="140"/>
        <v>290188.5</v>
      </c>
      <c r="AG271" s="52"/>
      <c r="AH271" s="52"/>
      <c r="AI271" s="52"/>
      <c r="AJ271" s="52"/>
      <c r="AM271" s="44"/>
      <c r="AV271" s="44"/>
    </row>
    <row r="272" spans="1:80" ht="56.25" x14ac:dyDescent="0.25">
      <c r="A272" s="144"/>
      <c r="B272" s="145"/>
      <c r="C272" s="151" t="s">
        <v>178</v>
      </c>
      <c r="D272" s="168"/>
      <c r="E272" s="166"/>
      <c r="F272" s="165"/>
      <c r="G272" s="142" t="s">
        <v>246</v>
      </c>
      <c r="H272" s="165"/>
      <c r="I272" s="33">
        <v>0</v>
      </c>
      <c r="J272" s="33">
        <v>0</v>
      </c>
      <c r="K272" s="33">
        <v>0</v>
      </c>
      <c r="L272" s="33">
        <v>0</v>
      </c>
      <c r="M272" s="33">
        <v>0</v>
      </c>
      <c r="N272" s="33">
        <v>0</v>
      </c>
      <c r="O272" s="33">
        <f>217847</f>
        <v>217847</v>
      </c>
      <c r="P272" s="33">
        <v>0</v>
      </c>
      <c r="Q272" s="33">
        <v>0</v>
      </c>
      <c r="R272" s="33">
        <v>0</v>
      </c>
      <c r="S272" s="33">
        <f t="shared" si="140"/>
        <v>217847</v>
      </c>
      <c r="AG272" s="52"/>
      <c r="AH272" s="52"/>
      <c r="AI272" s="52"/>
      <c r="AJ272" s="52"/>
      <c r="AM272" s="44"/>
      <c r="AV272" s="44"/>
    </row>
    <row r="273" spans="1:79" ht="37.5" x14ac:dyDescent="0.25">
      <c r="A273" s="144"/>
      <c r="B273" s="145"/>
      <c r="C273" s="151" t="s">
        <v>179</v>
      </c>
      <c r="D273" s="168"/>
      <c r="E273" s="166"/>
      <c r="F273" s="165"/>
      <c r="G273" s="142" t="s">
        <v>246</v>
      </c>
      <c r="H273" s="165"/>
      <c r="I273" s="33">
        <v>0</v>
      </c>
      <c r="J273" s="33">
        <v>0</v>
      </c>
      <c r="K273" s="33">
        <v>0</v>
      </c>
      <c r="L273" s="33">
        <v>0</v>
      </c>
      <c r="M273" s="33">
        <v>0</v>
      </c>
      <c r="N273" s="33">
        <v>0</v>
      </c>
      <c r="O273" s="33">
        <f>11465.63</f>
        <v>11465.63</v>
      </c>
      <c r="P273" s="33">
        <v>0</v>
      </c>
      <c r="Q273" s="33">
        <v>0</v>
      </c>
      <c r="R273" s="33">
        <v>0</v>
      </c>
      <c r="S273" s="33">
        <f t="shared" si="140"/>
        <v>11465.63</v>
      </c>
      <c r="AG273" s="52"/>
      <c r="AH273" s="52"/>
      <c r="AI273" s="52"/>
      <c r="AJ273" s="52"/>
      <c r="AM273" s="44"/>
      <c r="AV273" s="44"/>
    </row>
    <row r="274" spans="1:79" ht="37.5" x14ac:dyDescent="0.25">
      <c r="A274" s="144"/>
      <c r="B274" s="145"/>
      <c r="C274" s="151" t="s">
        <v>37</v>
      </c>
      <c r="D274" s="168"/>
      <c r="E274" s="166"/>
      <c r="F274" s="165"/>
      <c r="G274" s="142" t="s">
        <v>246</v>
      </c>
      <c r="H274" s="165"/>
      <c r="I274" s="33">
        <v>0</v>
      </c>
      <c r="J274" s="33">
        <v>0</v>
      </c>
      <c r="K274" s="33">
        <v>0</v>
      </c>
      <c r="L274" s="33">
        <v>0</v>
      </c>
      <c r="M274" s="33">
        <v>0</v>
      </c>
      <c r="N274" s="33">
        <v>0</v>
      </c>
      <c r="O274" s="33">
        <f>60875.87</f>
        <v>60875.87</v>
      </c>
      <c r="P274" s="33">
        <v>0</v>
      </c>
      <c r="Q274" s="33">
        <v>0</v>
      </c>
      <c r="R274" s="33">
        <v>0</v>
      </c>
      <c r="S274" s="33">
        <f t="shared" si="140"/>
        <v>60875.87</v>
      </c>
      <c r="AG274" s="52"/>
      <c r="AH274" s="52"/>
      <c r="AI274" s="52"/>
      <c r="AJ274" s="52"/>
      <c r="AM274" s="44"/>
      <c r="AV274" s="44"/>
    </row>
    <row r="275" spans="1:79" ht="19.5" customHeight="1" x14ac:dyDescent="0.25">
      <c r="A275" s="190"/>
      <c r="B275" s="177"/>
      <c r="C275" s="151" t="s">
        <v>186</v>
      </c>
      <c r="D275" s="168" t="s">
        <v>261</v>
      </c>
      <c r="E275" s="166">
        <v>911</v>
      </c>
      <c r="F275" s="165" t="s">
        <v>60</v>
      </c>
      <c r="G275" s="142" t="s">
        <v>246</v>
      </c>
      <c r="H275" s="165" t="s">
        <v>264</v>
      </c>
      <c r="I275" s="33">
        <v>0</v>
      </c>
      <c r="J275" s="33">
        <v>0</v>
      </c>
      <c r="K275" s="33">
        <f t="shared" ref="K275:Q275" si="141">SUM(K276:K278)</f>
        <v>10000</v>
      </c>
      <c r="L275" s="33">
        <f t="shared" si="141"/>
        <v>0</v>
      </c>
      <c r="M275" s="33">
        <f t="shared" si="141"/>
        <v>0</v>
      </c>
      <c r="N275" s="33">
        <f t="shared" si="141"/>
        <v>43000</v>
      </c>
      <c r="O275" s="33">
        <f t="shared" si="141"/>
        <v>25000</v>
      </c>
      <c r="P275" s="33">
        <f t="shared" si="141"/>
        <v>0</v>
      </c>
      <c r="Q275" s="33">
        <f t="shared" si="141"/>
        <v>0</v>
      </c>
      <c r="R275" s="33">
        <v>0</v>
      </c>
      <c r="S275" s="33">
        <f t="shared" si="140"/>
        <v>78000</v>
      </c>
      <c r="AG275" s="52"/>
      <c r="AH275" s="52"/>
      <c r="AI275" s="52"/>
      <c r="AJ275" s="52"/>
      <c r="AM275" s="44"/>
      <c r="AV275" s="44"/>
    </row>
    <row r="276" spans="1:79" ht="37.5" customHeight="1" x14ac:dyDescent="0.25">
      <c r="A276" s="190"/>
      <c r="B276" s="177"/>
      <c r="C276" s="151" t="s">
        <v>178</v>
      </c>
      <c r="D276" s="168"/>
      <c r="E276" s="166"/>
      <c r="F276" s="165"/>
      <c r="G276" s="142" t="s">
        <v>246</v>
      </c>
      <c r="H276" s="165"/>
      <c r="I276" s="33">
        <v>0</v>
      </c>
      <c r="J276" s="33">
        <v>0</v>
      </c>
      <c r="K276" s="33">
        <v>9072.5</v>
      </c>
      <c r="L276" s="33">
        <v>0</v>
      </c>
      <c r="M276" s="33">
        <v>0</v>
      </c>
      <c r="N276" s="33">
        <v>38826.61</v>
      </c>
      <c r="O276" s="33">
        <v>18767.71</v>
      </c>
      <c r="P276" s="33">
        <v>0</v>
      </c>
      <c r="Q276" s="33">
        <v>0</v>
      </c>
      <c r="R276" s="33">
        <v>0</v>
      </c>
      <c r="S276" s="33">
        <f t="shared" si="140"/>
        <v>66666.820000000007</v>
      </c>
      <c r="AG276" s="52"/>
      <c r="AH276" s="52"/>
      <c r="AI276" s="52"/>
      <c r="AJ276" s="52"/>
      <c r="AM276" s="44"/>
      <c r="AV276" s="44"/>
    </row>
    <row r="277" spans="1:79" ht="21" customHeight="1" x14ac:dyDescent="0.25">
      <c r="A277" s="190"/>
      <c r="B277" s="177"/>
      <c r="C277" s="151" t="s">
        <v>179</v>
      </c>
      <c r="D277" s="168"/>
      <c r="E277" s="166"/>
      <c r="F277" s="165"/>
      <c r="G277" s="142" t="s">
        <v>246</v>
      </c>
      <c r="H277" s="165"/>
      <c r="I277" s="33">
        <v>0</v>
      </c>
      <c r="J277" s="33">
        <v>0</v>
      </c>
      <c r="K277" s="33">
        <v>477.5</v>
      </c>
      <c r="L277" s="33">
        <v>0</v>
      </c>
      <c r="M277" s="33">
        <v>0</v>
      </c>
      <c r="N277" s="33">
        <v>2043.5</v>
      </c>
      <c r="O277" s="33">
        <v>987.78</v>
      </c>
      <c r="P277" s="33">
        <v>0</v>
      </c>
      <c r="Q277" s="33">
        <v>0</v>
      </c>
      <c r="R277" s="33">
        <v>0</v>
      </c>
      <c r="S277" s="33">
        <f t="shared" si="140"/>
        <v>3508.7799999999997</v>
      </c>
      <c r="AG277" s="52"/>
      <c r="AH277" s="52"/>
      <c r="AI277" s="52"/>
      <c r="AJ277" s="52"/>
      <c r="AM277" s="44"/>
      <c r="AV277" s="44"/>
    </row>
    <row r="278" spans="1:79" ht="37.5" x14ac:dyDescent="0.25">
      <c r="A278" s="190"/>
      <c r="B278" s="177"/>
      <c r="C278" s="151" t="s">
        <v>37</v>
      </c>
      <c r="D278" s="168"/>
      <c r="E278" s="166"/>
      <c r="F278" s="165"/>
      <c r="G278" s="142" t="s">
        <v>246</v>
      </c>
      <c r="H278" s="165"/>
      <c r="I278" s="33">
        <v>0</v>
      </c>
      <c r="J278" s="33">
        <v>0</v>
      </c>
      <c r="K278" s="33">
        <v>450</v>
      </c>
      <c r="L278" s="33">
        <v>0</v>
      </c>
      <c r="M278" s="33">
        <v>0</v>
      </c>
      <c r="N278" s="33">
        <v>2129.89</v>
      </c>
      <c r="O278" s="33">
        <v>5244.51</v>
      </c>
      <c r="P278" s="33">
        <v>0</v>
      </c>
      <c r="Q278" s="33">
        <v>0</v>
      </c>
      <c r="R278" s="33">
        <v>0</v>
      </c>
      <c r="S278" s="33">
        <f t="shared" si="140"/>
        <v>7824.4</v>
      </c>
      <c r="AG278" s="52"/>
      <c r="AH278" s="52"/>
      <c r="AI278" s="52"/>
      <c r="AJ278" s="52"/>
      <c r="AM278" s="44"/>
      <c r="AV278" s="44"/>
    </row>
    <row r="279" spans="1:79" ht="56.25" x14ac:dyDescent="0.25">
      <c r="A279" s="190"/>
      <c r="B279" s="177"/>
      <c r="C279" s="53" t="s">
        <v>225</v>
      </c>
      <c r="D279" s="168" t="s">
        <v>13</v>
      </c>
      <c r="E279" s="165" t="s">
        <v>53</v>
      </c>
      <c r="F279" s="165" t="s">
        <v>60</v>
      </c>
      <c r="G279" s="142" t="s">
        <v>246</v>
      </c>
      <c r="H279" s="166" t="s">
        <v>74</v>
      </c>
      <c r="I279" s="33">
        <f>I280+I281+I282</f>
        <v>0</v>
      </c>
      <c r="J279" s="33">
        <f>J280+J281+J282</f>
        <v>176400.21999999997</v>
      </c>
      <c r="K279" s="33">
        <f>K280+K281+K282</f>
        <v>126289.66649000002</v>
      </c>
      <c r="L279" s="33">
        <f>L280+L281+L282</f>
        <v>111885.63999999998</v>
      </c>
      <c r="M279" s="33">
        <f t="shared" ref="M279:R279" si="142">M280+M281+M282</f>
        <v>113092.58</v>
      </c>
      <c r="N279" s="33">
        <f t="shared" si="142"/>
        <v>120852.13</v>
      </c>
      <c r="O279" s="33">
        <f t="shared" si="142"/>
        <v>135080.78999999998</v>
      </c>
      <c r="P279" s="33">
        <f t="shared" si="142"/>
        <v>0</v>
      </c>
      <c r="Q279" s="33">
        <f t="shared" si="142"/>
        <v>0</v>
      </c>
      <c r="R279" s="33">
        <f t="shared" si="142"/>
        <v>0</v>
      </c>
      <c r="S279" s="33">
        <f t="shared" si="140"/>
        <v>783601.02648999984</v>
      </c>
      <c r="T279" s="91">
        <v>148348.9</v>
      </c>
      <c r="AG279" s="33">
        <f>SUM(AG283:AG347)</f>
        <v>153981.10246000002</v>
      </c>
      <c r="AH279" s="33">
        <f>SUM(AH283:AH347)</f>
        <v>113392.28999999996</v>
      </c>
      <c r="AI279" s="33">
        <f>SUM(AI283:AI347)</f>
        <v>99897.930000000008</v>
      </c>
      <c r="AJ279" s="33">
        <f>SUM(AG279:AI279)</f>
        <v>367271.32246</v>
      </c>
      <c r="AM279" s="44">
        <f>I279-AG279</f>
        <v>-153981.10246000002</v>
      </c>
      <c r="AO279" s="35">
        <f>0.22+0.35+0.96+0.43+0.13+0.85+0.96</f>
        <v>3.9</v>
      </c>
      <c r="AP279" s="44">
        <f>137036.85-O279</f>
        <v>1956.0600000000268</v>
      </c>
      <c r="AV279" s="44">
        <f>S279+S212</f>
        <v>791251.90896999987</v>
      </c>
    </row>
    <row r="280" spans="1:79" ht="56.25" x14ac:dyDescent="0.25">
      <c r="A280" s="190"/>
      <c r="B280" s="177"/>
      <c r="C280" s="151" t="s">
        <v>178</v>
      </c>
      <c r="D280" s="168"/>
      <c r="E280" s="165"/>
      <c r="F280" s="165"/>
      <c r="G280" s="142" t="s">
        <v>246</v>
      </c>
      <c r="H280" s="166"/>
      <c r="I280" s="33">
        <f t="shared" ref="I280:M281" si="143">I284+I296+I308+I312+I324+I336+I348</f>
        <v>0</v>
      </c>
      <c r="J280" s="33">
        <f t="shared" si="143"/>
        <v>157300.97999999998</v>
      </c>
      <c r="K280" s="33">
        <f t="shared" si="143"/>
        <v>114576.29637000001</v>
      </c>
      <c r="L280" s="33">
        <f t="shared" si="143"/>
        <v>101140.34</v>
      </c>
      <c r="M280" s="33">
        <f t="shared" si="143"/>
        <v>101813.58</v>
      </c>
      <c r="N280" s="33">
        <f>N284+N296+N308+N312+N324+N336+N348</f>
        <v>109122.76000000001</v>
      </c>
      <c r="O280" s="33">
        <f t="shared" ref="O280:Q282" si="144">O292+O296+O308+O312+O324+O336+O348</f>
        <v>101406.30999999998</v>
      </c>
      <c r="P280" s="33">
        <f t="shared" si="144"/>
        <v>0</v>
      </c>
      <c r="Q280" s="33">
        <v>0</v>
      </c>
      <c r="R280" s="33">
        <v>0</v>
      </c>
      <c r="S280" s="33">
        <f t="shared" si="140"/>
        <v>685360.26636999997</v>
      </c>
      <c r="T280" s="52"/>
      <c r="AG280" s="33"/>
      <c r="AH280" s="33"/>
      <c r="AI280" s="33"/>
      <c r="AJ280" s="33"/>
      <c r="AM280" s="44"/>
      <c r="AO280" s="35">
        <f>0.98+0.07+0.83+0.34+0.76+0.67</f>
        <v>3.6499999999999995</v>
      </c>
      <c r="AP280" s="44">
        <f>124298.67-O280</f>
        <v>22892.360000000015</v>
      </c>
      <c r="CA280" s="35">
        <v>184476.95</v>
      </c>
    </row>
    <row r="281" spans="1:79" ht="37.5" x14ac:dyDescent="0.25">
      <c r="A281" s="190"/>
      <c r="B281" s="177"/>
      <c r="C281" s="151" t="s">
        <v>179</v>
      </c>
      <c r="D281" s="168"/>
      <c r="E281" s="165"/>
      <c r="F281" s="165"/>
      <c r="G281" s="142" t="s">
        <v>246</v>
      </c>
      <c r="H281" s="166"/>
      <c r="I281" s="33">
        <f t="shared" si="143"/>
        <v>0</v>
      </c>
      <c r="J281" s="33">
        <f t="shared" si="143"/>
        <v>8279</v>
      </c>
      <c r="K281" s="33">
        <f t="shared" si="143"/>
        <v>6030.3315999999995</v>
      </c>
      <c r="L281" s="33">
        <f t="shared" si="143"/>
        <v>5323.1799999999994</v>
      </c>
      <c r="M281" s="33">
        <f>M285+M297+M309+M313+M325+M337+M349</f>
        <v>5358.6100000000006</v>
      </c>
      <c r="N281" s="33">
        <f>N293+N297+N309+N313+N325+N337+N349</f>
        <v>5743.3</v>
      </c>
      <c r="O281" s="33">
        <f t="shared" si="144"/>
        <v>5337.1699999999992</v>
      </c>
      <c r="P281" s="33">
        <f t="shared" si="144"/>
        <v>0</v>
      </c>
      <c r="Q281" s="33">
        <f t="shared" si="144"/>
        <v>0</v>
      </c>
      <c r="R281" s="33">
        <v>0</v>
      </c>
      <c r="S281" s="33">
        <f t="shared" si="140"/>
        <v>36071.5916</v>
      </c>
      <c r="T281" s="52"/>
      <c r="AG281" s="33"/>
      <c r="AH281" s="33"/>
      <c r="AI281" s="33"/>
      <c r="AJ281" s="33"/>
      <c r="AM281" s="44"/>
      <c r="AP281" s="44">
        <f>6542.03-O281</f>
        <v>1204.8600000000006</v>
      </c>
      <c r="CA281" s="35">
        <v>128195.85</v>
      </c>
    </row>
    <row r="282" spans="1:79" ht="37.5" x14ac:dyDescent="0.25">
      <c r="A282" s="190"/>
      <c r="B282" s="177"/>
      <c r="C282" s="151" t="s">
        <v>37</v>
      </c>
      <c r="D282" s="168"/>
      <c r="E282" s="165"/>
      <c r="F282" s="165"/>
      <c r="G282" s="142" t="s">
        <v>246</v>
      </c>
      <c r="H282" s="166"/>
      <c r="I282" s="33">
        <f>I286+I298+I310+I314+I326+I338+I350</f>
        <v>0</v>
      </c>
      <c r="J282" s="33">
        <f>J286+J298+J310+J314+J326+J338+J350</f>
        <v>10820.24</v>
      </c>
      <c r="K282" s="33">
        <f>K286+K298+K310+K314+K326+K338+K350</f>
        <v>5683.0385200000001</v>
      </c>
      <c r="L282" s="33">
        <f>L286+L298+L310+L314+L326+L338+L350</f>
        <v>5422.12</v>
      </c>
      <c r="M282" s="33">
        <f>M286+M298+M310+M314+M326+M338+M350</f>
        <v>5920.39</v>
      </c>
      <c r="N282" s="33">
        <f>N286+N298+N310+N314+N326+N338+N350</f>
        <v>5986.07</v>
      </c>
      <c r="O282" s="33">
        <f t="shared" si="144"/>
        <v>28337.309999999998</v>
      </c>
      <c r="P282" s="33">
        <f t="shared" si="144"/>
        <v>0</v>
      </c>
      <c r="Q282" s="33">
        <f t="shared" si="144"/>
        <v>0</v>
      </c>
      <c r="R282" s="33">
        <f>R294+R298+R310+R314+R326+R338+R350</f>
        <v>0</v>
      </c>
      <c r="S282" s="33">
        <f t="shared" si="140"/>
        <v>62169.168519999992</v>
      </c>
      <c r="T282" s="52"/>
      <c r="AG282" s="33"/>
      <c r="AH282" s="33"/>
      <c r="AI282" s="33"/>
      <c r="AJ282" s="33"/>
      <c r="AM282" s="44"/>
      <c r="AP282" s="44">
        <f>6196.15-O282</f>
        <v>-22141.159999999996</v>
      </c>
    </row>
    <row r="283" spans="1:79" ht="39" hidden="1" customHeight="1" x14ac:dyDescent="0.25">
      <c r="A283" s="152"/>
      <c r="B283" s="145"/>
      <c r="C283" s="151" t="s">
        <v>186</v>
      </c>
      <c r="D283" s="168" t="s">
        <v>23</v>
      </c>
      <c r="E283" s="166">
        <v>919</v>
      </c>
      <c r="F283" s="165" t="s">
        <v>60</v>
      </c>
      <c r="G283" s="142" t="s">
        <v>246</v>
      </c>
      <c r="H283" s="166" t="s">
        <v>222</v>
      </c>
      <c r="I283" s="33">
        <f t="shared" ref="I283:N283" si="145">I284+I285+I286</f>
        <v>0</v>
      </c>
      <c r="J283" s="33">
        <f t="shared" si="145"/>
        <v>20973.66</v>
      </c>
      <c r="K283" s="33">
        <f t="shared" si="145"/>
        <v>19391.030489999997</v>
      </c>
      <c r="L283" s="33">
        <f t="shared" si="145"/>
        <v>17777.45</v>
      </c>
      <c r="M283" s="33">
        <f t="shared" si="145"/>
        <v>17890.43</v>
      </c>
      <c r="N283" s="33">
        <f t="shared" si="145"/>
        <v>16929.900000000001</v>
      </c>
      <c r="O283" s="33"/>
      <c r="P283" s="33"/>
      <c r="Q283" s="33"/>
      <c r="R283" s="33"/>
      <c r="S283" s="33">
        <f t="shared" si="140"/>
        <v>92962.470489999978</v>
      </c>
      <c r="AG283" s="33">
        <f>20624.03138+3063.67</f>
        <v>23687.701379999999</v>
      </c>
      <c r="AH283" s="33">
        <v>2450.94</v>
      </c>
      <c r="AI283" s="33">
        <v>3676.4</v>
      </c>
      <c r="AJ283" s="33">
        <f>SUM(AG283:AI283)</f>
        <v>29815.041379999999</v>
      </c>
      <c r="AM283" s="44">
        <f>I283-AG283</f>
        <v>-23687.701379999999</v>
      </c>
      <c r="CA283" s="33">
        <f>CA284+CA285+CA286</f>
        <v>0</v>
      </c>
    </row>
    <row r="284" spans="1:79" ht="26.25" hidden="1" customHeight="1" x14ac:dyDescent="0.25">
      <c r="A284" s="152"/>
      <c r="B284" s="145"/>
      <c r="C284" s="151" t="s">
        <v>178</v>
      </c>
      <c r="D284" s="168"/>
      <c r="E284" s="166"/>
      <c r="F284" s="165"/>
      <c r="G284" s="142" t="s">
        <v>246</v>
      </c>
      <c r="H284" s="178"/>
      <c r="I284" s="33">
        <f t="shared" ref="I284:N286" si="146">I288+I292</f>
        <v>0</v>
      </c>
      <c r="J284" s="33">
        <f t="shared" si="146"/>
        <v>18702.8</v>
      </c>
      <c r="K284" s="33">
        <f t="shared" si="146"/>
        <v>17592.510490000001</v>
      </c>
      <c r="L284" s="33">
        <f t="shared" si="146"/>
        <v>16070.13</v>
      </c>
      <c r="M284" s="33">
        <f t="shared" si="146"/>
        <v>16106.18</v>
      </c>
      <c r="N284" s="33">
        <f t="shared" si="146"/>
        <v>15286.76</v>
      </c>
      <c r="O284" s="33"/>
      <c r="P284" s="33"/>
      <c r="Q284" s="33"/>
      <c r="R284" s="33"/>
      <c r="S284" s="33">
        <f t="shared" si="140"/>
        <v>83758.380489999996</v>
      </c>
      <c r="AG284" s="33"/>
      <c r="AH284" s="33"/>
      <c r="AI284" s="33"/>
      <c r="AJ284" s="33"/>
      <c r="AM284" s="44"/>
    </row>
    <row r="285" spans="1:79" ht="26.25" hidden="1" customHeight="1" x14ac:dyDescent="0.25">
      <c r="A285" s="152"/>
      <c r="B285" s="145"/>
      <c r="C285" s="151" t="s">
        <v>179</v>
      </c>
      <c r="D285" s="168"/>
      <c r="E285" s="166"/>
      <c r="F285" s="165"/>
      <c r="G285" s="142" t="s">
        <v>246</v>
      </c>
      <c r="H285" s="178"/>
      <c r="I285" s="33">
        <f t="shared" si="146"/>
        <v>0</v>
      </c>
      <c r="J285" s="33">
        <f t="shared" si="146"/>
        <v>984.36</v>
      </c>
      <c r="K285" s="33">
        <f t="shared" si="146"/>
        <v>925.92000000000007</v>
      </c>
      <c r="L285" s="33">
        <f t="shared" si="146"/>
        <v>845.8</v>
      </c>
      <c r="M285" s="33">
        <f t="shared" si="146"/>
        <v>847.69</v>
      </c>
      <c r="N285" s="33">
        <f t="shared" si="146"/>
        <v>804.57</v>
      </c>
      <c r="O285" s="33"/>
      <c r="P285" s="33"/>
      <c r="Q285" s="33"/>
      <c r="R285" s="33"/>
      <c r="S285" s="33">
        <f t="shared" si="140"/>
        <v>4408.34</v>
      </c>
      <c r="AG285" s="33"/>
      <c r="AH285" s="33"/>
      <c r="AI285" s="33"/>
      <c r="AJ285" s="33"/>
      <c r="AM285" s="44"/>
    </row>
    <row r="286" spans="1:79" ht="26.25" hidden="1" customHeight="1" x14ac:dyDescent="0.25">
      <c r="A286" s="152"/>
      <c r="B286" s="145"/>
      <c r="C286" s="151" t="s">
        <v>37</v>
      </c>
      <c r="D286" s="168"/>
      <c r="E286" s="166"/>
      <c r="F286" s="165"/>
      <c r="G286" s="142" t="s">
        <v>246</v>
      </c>
      <c r="H286" s="178"/>
      <c r="I286" s="33">
        <f t="shared" si="146"/>
        <v>0</v>
      </c>
      <c r="J286" s="33">
        <f t="shared" si="146"/>
        <v>1286.5</v>
      </c>
      <c r="K286" s="33">
        <f t="shared" si="146"/>
        <v>872.6</v>
      </c>
      <c r="L286" s="33">
        <f t="shared" si="146"/>
        <v>861.52</v>
      </c>
      <c r="M286" s="33">
        <f t="shared" si="146"/>
        <v>936.56</v>
      </c>
      <c r="N286" s="33">
        <f t="shared" si="146"/>
        <v>838.57</v>
      </c>
      <c r="O286" s="33"/>
      <c r="P286" s="33"/>
      <c r="Q286" s="33"/>
      <c r="R286" s="33"/>
      <c r="S286" s="33">
        <f t="shared" si="140"/>
        <v>4795.75</v>
      </c>
      <c r="AG286" s="33"/>
      <c r="AH286" s="33"/>
      <c r="AI286" s="33"/>
      <c r="AJ286" s="33"/>
      <c r="AM286" s="44"/>
    </row>
    <row r="287" spans="1:79" ht="26.25" hidden="1" customHeight="1" x14ac:dyDescent="0.25">
      <c r="A287" s="152"/>
      <c r="B287" s="145"/>
      <c r="C287" s="151" t="s">
        <v>186</v>
      </c>
      <c r="D287" s="168"/>
      <c r="E287" s="166"/>
      <c r="F287" s="165"/>
      <c r="G287" s="142" t="s">
        <v>246</v>
      </c>
      <c r="H287" s="166">
        <v>631</v>
      </c>
      <c r="I287" s="33">
        <f t="shared" ref="I287:N287" si="147">I288+I289+I290</f>
        <v>0</v>
      </c>
      <c r="J287" s="33">
        <f t="shared" si="147"/>
        <v>0</v>
      </c>
      <c r="K287" s="33">
        <f t="shared" si="147"/>
        <v>0</v>
      </c>
      <c r="L287" s="33">
        <f t="shared" si="147"/>
        <v>0</v>
      </c>
      <c r="M287" s="33">
        <f t="shared" si="147"/>
        <v>0</v>
      </c>
      <c r="N287" s="33">
        <f t="shared" si="147"/>
        <v>0</v>
      </c>
      <c r="O287" s="33"/>
      <c r="P287" s="33"/>
      <c r="Q287" s="33"/>
      <c r="R287" s="33"/>
      <c r="S287" s="33">
        <f t="shared" si="140"/>
        <v>0</v>
      </c>
      <c r="AG287" s="33"/>
      <c r="AH287" s="33"/>
      <c r="AI287" s="33"/>
      <c r="AJ287" s="33"/>
      <c r="AM287" s="44"/>
    </row>
    <row r="288" spans="1:79" ht="26.25" hidden="1" customHeight="1" x14ac:dyDescent="0.25">
      <c r="A288" s="152"/>
      <c r="B288" s="145"/>
      <c r="C288" s="151" t="s">
        <v>178</v>
      </c>
      <c r="D288" s="168"/>
      <c r="E288" s="166"/>
      <c r="F288" s="165"/>
      <c r="G288" s="142" t="s">
        <v>246</v>
      </c>
      <c r="H288" s="166"/>
      <c r="I288" s="33">
        <v>0</v>
      </c>
      <c r="J288" s="33">
        <v>0</v>
      </c>
      <c r="K288" s="33">
        <v>0</v>
      </c>
      <c r="L288" s="33">
        <v>0</v>
      </c>
      <c r="M288" s="33">
        <v>0</v>
      </c>
      <c r="N288" s="33">
        <v>0</v>
      </c>
      <c r="O288" s="33"/>
      <c r="P288" s="33"/>
      <c r="Q288" s="33"/>
      <c r="R288" s="33"/>
      <c r="S288" s="33">
        <f t="shared" si="140"/>
        <v>0</v>
      </c>
      <c r="AG288" s="33"/>
      <c r="AH288" s="33"/>
      <c r="AI288" s="33"/>
      <c r="AJ288" s="33"/>
      <c r="AM288" s="44"/>
    </row>
    <row r="289" spans="1:79" ht="26.25" hidden="1" customHeight="1" x14ac:dyDescent="0.25">
      <c r="A289" s="152"/>
      <c r="B289" s="145"/>
      <c r="C289" s="151" t="s">
        <v>179</v>
      </c>
      <c r="D289" s="168"/>
      <c r="E289" s="166"/>
      <c r="F289" s="165"/>
      <c r="G289" s="142" t="s">
        <v>246</v>
      </c>
      <c r="H289" s="166"/>
      <c r="I289" s="33">
        <v>0</v>
      </c>
      <c r="J289" s="33">
        <v>0</v>
      </c>
      <c r="K289" s="33">
        <v>0</v>
      </c>
      <c r="L289" s="33">
        <v>0</v>
      </c>
      <c r="M289" s="33">
        <v>0</v>
      </c>
      <c r="N289" s="33">
        <v>0</v>
      </c>
      <c r="O289" s="33"/>
      <c r="P289" s="33"/>
      <c r="Q289" s="33"/>
      <c r="R289" s="33"/>
      <c r="S289" s="33">
        <f t="shared" si="140"/>
        <v>0</v>
      </c>
      <c r="AG289" s="33"/>
      <c r="AH289" s="33"/>
      <c r="AI289" s="33"/>
      <c r="AJ289" s="33"/>
      <c r="AM289" s="44"/>
    </row>
    <row r="290" spans="1:79" ht="26.25" hidden="1" customHeight="1" x14ac:dyDescent="0.25">
      <c r="A290" s="152"/>
      <c r="B290" s="145"/>
      <c r="C290" s="151" t="s">
        <v>37</v>
      </c>
      <c r="D290" s="168"/>
      <c r="E290" s="166"/>
      <c r="F290" s="165"/>
      <c r="G290" s="142" t="s">
        <v>246</v>
      </c>
      <c r="H290" s="166"/>
      <c r="I290" s="33">
        <v>0</v>
      </c>
      <c r="J290" s="33">
        <v>0</v>
      </c>
      <c r="K290" s="33">
        <v>0</v>
      </c>
      <c r="L290" s="33">
        <v>0</v>
      </c>
      <c r="M290" s="33">
        <v>0</v>
      </c>
      <c r="N290" s="33">
        <v>0</v>
      </c>
      <c r="O290" s="33"/>
      <c r="P290" s="33"/>
      <c r="Q290" s="33"/>
      <c r="R290" s="33"/>
      <c r="S290" s="33">
        <f t="shared" si="140"/>
        <v>0</v>
      </c>
      <c r="AG290" s="33"/>
      <c r="AH290" s="33"/>
      <c r="AI290" s="33"/>
      <c r="AJ290" s="33"/>
      <c r="AM290" s="44"/>
    </row>
    <row r="291" spans="1:79" x14ac:dyDescent="0.3">
      <c r="A291" s="190"/>
      <c r="B291" s="177"/>
      <c r="C291" s="151" t="s">
        <v>186</v>
      </c>
      <c r="D291" s="168"/>
      <c r="E291" s="166"/>
      <c r="F291" s="165"/>
      <c r="G291" s="142" t="s">
        <v>246</v>
      </c>
      <c r="H291" s="166" t="s">
        <v>262</v>
      </c>
      <c r="I291" s="33">
        <f t="shared" ref="I291:N291" si="148">I292+I293+I294</f>
        <v>0</v>
      </c>
      <c r="J291" s="33">
        <f t="shared" si="148"/>
        <v>20973.66</v>
      </c>
      <c r="K291" s="33">
        <f t="shared" si="148"/>
        <v>19391.030489999997</v>
      </c>
      <c r="L291" s="33">
        <f t="shared" si="148"/>
        <v>17777.45</v>
      </c>
      <c r="M291" s="33">
        <f t="shared" si="148"/>
        <v>17890.43</v>
      </c>
      <c r="N291" s="33">
        <f t="shared" si="148"/>
        <v>16929.900000000001</v>
      </c>
      <c r="O291" s="33">
        <f>O292+O293+O294</f>
        <v>19143.68</v>
      </c>
      <c r="P291" s="33">
        <f>P292+P293+P294</f>
        <v>0</v>
      </c>
      <c r="Q291" s="33">
        <f>Q292+Q293+Q294</f>
        <v>0</v>
      </c>
      <c r="R291" s="33">
        <f>R292+R293+R294</f>
        <v>0</v>
      </c>
      <c r="S291" s="33">
        <f t="shared" si="140"/>
        <v>112106.15048999997</v>
      </c>
      <c r="AG291" s="33"/>
      <c r="AH291" s="33"/>
      <c r="AI291" s="33"/>
      <c r="AJ291" s="33"/>
      <c r="AM291" s="44"/>
      <c r="AO291" s="123">
        <f>0.66+0.03+0.45+0.43+0.9+0.67+0.43+0.43</f>
        <v>4</v>
      </c>
      <c r="AV291" s="44">
        <f>I291+I288</f>
        <v>0</v>
      </c>
      <c r="CA291" s="39">
        <v>1000</v>
      </c>
    </row>
    <row r="292" spans="1:79" ht="56.25" x14ac:dyDescent="0.3">
      <c r="A292" s="190"/>
      <c r="B292" s="177"/>
      <c r="C292" s="151" t="s">
        <v>178</v>
      </c>
      <c r="D292" s="168"/>
      <c r="E292" s="166"/>
      <c r="F292" s="165"/>
      <c r="G292" s="142" t="s">
        <v>246</v>
      </c>
      <c r="H292" s="166"/>
      <c r="I292" s="33">
        <v>0</v>
      </c>
      <c r="J292" s="77">
        <f>18702.79+0.01</f>
        <v>18702.8</v>
      </c>
      <c r="K292" s="77">
        <f>15183.115+2409.39549</f>
        <v>17592.510490000001</v>
      </c>
      <c r="L292" s="75">
        <v>16070.13</v>
      </c>
      <c r="M292" s="75">
        <v>16106.18</v>
      </c>
      <c r="N292" s="75">
        <v>15286.76</v>
      </c>
      <c r="O292" s="75">
        <v>14371.32</v>
      </c>
      <c r="P292" s="75">
        <v>0</v>
      </c>
      <c r="Q292" s="75">
        <v>0</v>
      </c>
      <c r="R292" s="75">
        <v>0</v>
      </c>
      <c r="S292" s="33">
        <f t="shared" si="140"/>
        <v>98129.700489999988</v>
      </c>
      <c r="AG292" s="75">
        <v>16536.439999999999</v>
      </c>
      <c r="AH292" s="76">
        <v>17240.849999999999</v>
      </c>
      <c r="AI292" s="33"/>
      <c r="AJ292" s="33"/>
      <c r="AM292" s="44"/>
      <c r="AO292" s="35">
        <f>0.8+0.51+0.13+0.18+0.76+0.32</f>
        <v>2.6999999999999997</v>
      </c>
      <c r="AP292" s="35">
        <v>16025.448179999999</v>
      </c>
      <c r="AV292" s="44"/>
    </row>
    <row r="293" spans="1:79" ht="37.5" x14ac:dyDescent="0.3">
      <c r="A293" s="190"/>
      <c r="B293" s="177"/>
      <c r="C293" s="151" t="s">
        <v>179</v>
      </c>
      <c r="D293" s="168"/>
      <c r="E293" s="166"/>
      <c r="F293" s="165"/>
      <c r="G293" s="142" t="s">
        <v>246</v>
      </c>
      <c r="H293" s="166"/>
      <c r="I293" s="33">
        <v>0</v>
      </c>
      <c r="J293" s="77">
        <f>984.37-0.01</f>
        <v>984.36</v>
      </c>
      <c r="K293" s="77">
        <f>799.11+126.81</f>
        <v>925.92000000000007</v>
      </c>
      <c r="L293" s="76">
        <v>845.8</v>
      </c>
      <c r="M293" s="76">
        <v>847.69</v>
      </c>
      <c r="N293" s="77">
        <v>804.57</v>
      </c>
      <c r="O293" s="77">
        <f>756.38+0.01</f>
        <v>756.39</v>
      </c>
      <c r="P293" s="77">
        <v>0</v>
      </c>
      <c r="Q293" s="77">
        <v>0</v>
      </c>
      <c r="R293" s="77">
        <v>0</v>
      </c>
      <c r="S293" s="33">
        <f t="shared" si="140"/>
        <v>5164.7300000000005</v>
      </c>
      <c r="AG293" s="76">
        <v>870.34</v>
      </c>
      <c r="AH293" s="76">
        <v>907.41</v>
      </c>
      <c r="AI293" s="33"/>
      <c r="AJ293" s="33"/>
      <c r="AM293" s="44"/>
      <c r="AO293" s="35">
        <f>0.36+0.92+0.8+0.69+0.57+0.38+0.26+0.26</f>
        <v>4.2399999999999993</v>
      </c>
      <c r="AP293" s="35">
        <v>843.44464000000005</v>
      </c>
      <c r="AV293" s="44">
        <f>I293+I289</f>
        <v>0</v>
      </c>
    </row>
    <row r="294" spans="1:79" ht="37.5" x14ac:dyDescent="0.3">
      <c r="A294" s="190"/>
      <c r="B294" s="177"/>
      <c r="C294" s="151" t="s">
        <v>37</v>
      </c>
      <c r="D294" s="168"/>
      <c r="E294" s="166"/>
      <c r="F294" s="165"/>
      <c r="G294" s="142" t="s">
        <v>246</v>
      </c>
      <c r="H294" s="166"/>
      <c r="I294" s="33">
        <v>0</v>
      </c>
      <c r="J294" s="33">
        <v>1286.5</v>
      </c>
      <c r="K294" s="33">
        <f>753.09+119.51</f>
        <v>872.6</v>
      </c>
      <c r="L294" s="76">
        <v>861.52</v>
      </c>
      <c r="M294" s="76">
        <v>936.56</v>
      </c>
      <c r="N294" s="75">
        <v>838.57</v>
      </c>
      <c r="O294" s="75">
        <v>4015.97</v>
      </c>
      <c r="P294" s="75">
        <v>0</v>
      </c>
      <c r="Q294" s="75">
        <v>0</v>
      </c>
      <c r="R294" s="75">
        <v>0</v>
      </c>
      <c r="S294" s="33">
        <f t="shared" si="140"/>
        <v>8811.7199999999993</v>
      </c>
      <c r="AG294" s="76">
        <v>820.21</v>
      </c>
      <c r="AH294" s="76">
        <v>855.15</v>
      </c>
      <c r="AI294" s="33"/>
      <c r="AJ294" s="33"/>
      <c r="AM294" s="44"/>
      <c r="AO294" s="35">
        <f>0.5+0.6+0.52+0.56+0.57+0.97+0.17+0.17</f>
        <v>4.0599999999999996</v>
      </c>
      <c r="AP294" s="35">
        <v>908.55174</v>
      </c>
      <c r="AV294" s="44">
        <f>I294+I290</f>
        <v>0</v>
      </c>
      <c r="CA294" s="50">
        <v>143.32</v>
      </c>
    </row>
    <row r="295" spans="1:79" x14ac:dyDescent="0.25">
      <c r="A295" s="190"/>
      <c r="B295" s="177"/>
      <c r="C295" s="151" t="s">
        <v>186</v>
      </c>
      <c r="D295" s="168" t="s">
        <v>24</v>
      </c>
      <c r="E295" s="166">
        <v>922</v>
      </c>
      <c r="F295" s="165" t="s">
        <v>60</v>
      </c>
      <c r="G295" s="142" t="s">
        <v>246</v>
      </c>
      <c r="H295" s="180" t="s">
        <v>262</v>
      </c>
      <c r="I295" s="33">
        <f t="shared" ref="I295:N295" si="149">I296+I297+I298</f>
        <v>0</v>
      </c>
      <c r="J295" s="33">
        <f t="shared" si="149"/>
        <v>31329.88</v>
      </c>
      <c r="K295" s="33">
        <f t="shared" si="149"/>
        <v>15630.420000000002</v>
      </c>
      <c r="L295" s="33">
        <f t="shared" si="149"/>
        <v>17096.03</v>
      </c>
      <c r="M295" s="33">
        <f>M296+M297+M298</f>
        <v>17464.3</v>
      </c>
      <c r="N295" s="33">
        <f t="shared" si="149"/>
        <v>17103.939999999999</v>
      </c>
      <c r="O295" s="33">
        <f>O296+O297+O298</f>
        <v>20548.439999999999</v>
      </c>
      <c r="P295" s="33">
        <f>P296+P297+P298</f>
        <v>0</v>
      </c>
      <c r="Q295" s="33">
        <f>Q296+Q297+Q298</f>
        <v>0</v>
      </c>
      <c r="R295" s="33">
        <f>R296+R297+R298</f>
        <v>0</v>
      </c>
      <c r="S295" s="33">
        <f t="shared" si="140"/>
        <v>119173.01000000001</v>
      </c>
      <c r="AG295" s="33"/>
      <c r="AH295" s="33"/>
      <c r="AI295" s="33"/>
      <c r="AJ295" s="33"/>
      <c r="AM295" s="44"/>
      <c r="AV295" s="160"/>
      <c r="CA295" s="50">
        <v>168.83</v>
      </c>
    </row>
    <row r="296" spans="1:79" ht="56.25" x14ac:dyDescent="0.3">
      <c r="A296" s="190"/>
      <c r="B296" s="177"/>
      <c r="C296" s="151" t="s">
        <v>178</v>
      </c>
      <c r="D296" s="168"/>
      <c r="E296" s="166"/>
      <c r="F296" s="165"/>
      <c r="G296" s="142" t="s">
        <v>246</v>
      </c>
      <c r="H296" s="180"/>
      <c r="I296" s="33">
        <f>I300+I304</f>
        <v>0</v>
      </c>
      <c r="J296" s="33">
        <v>27937.73</v>
      </c>
      <c r="K296" s="33">
        <v>14180.7</v>
      </c>
      <c r="L296" s="75">
        <v>15454.15</v>
      </c>
      <c r="M296" s="33">
        <v>15722.55</v>
      </c>
      <c r="N296" s="33">
        <v>15443.9</v>
      </c>
      <c r="O296" s="33">
        <v>15425.89</v>
      </c>
      <c r="P296" s="33">
        <v>0</v>
      </c>
      <c r="Q296" s="33">
        <v>0</v>
      </c>
      <c r="R296" s="33">
        <v>0</v>
      </c>
      <c r="S296" s="33">
        <f t="shared" si="140"/>
        <v>104164.92</v>
      </c>
      <c r="AG296" s="33"/>
      <c r="AH296" s="33"/>
      <c r="AI296" s="33"/>
      <c r="AJ296" s="33"/>
      <c r="AM296" s="44"/>
      <c r="AV296" s="160"/>
      <c r="CA296" s="50">
        <v>212.54</v>
      </c>
    </row>
    <row r="297" spans="1:79" ht="37.5" x14ac:dyDescent="0.3">
      <c r="A297" s="190"/>
      <c r="B297" s="177"/>
      <c r="C297" s="151" t="s">
        <v>179</v>
      </c>
      <c r="D297" s="168"/>
      <c r="E297" s="166"/>
      <c r="F297" s="165"/>
      <c r="G297" s="142" t="s">
        <v>246</v>
      </c>
      <c r="H297" s="180"/>
      <c r="I297" s="33">
        <f>I301+I305</f>
        <v>0</v>
      </c>
      <c r="J297" s="33">
        <v>1470.4</v>
      </c>
      <c r="K297" s="33">
        <v>746.35</v>
      </c>
      <c r="L297" s="75">
        <v>813.38</v>
      </c>
      <c r="M297" s="33">
        <v>827.5</v>
      </c>
      <c r="N297" s="33">
        <v>812.84</v>
      </c>
      <c r="O297" s="33">
        <v>811.89</v>
      </c>
      <c r="P297" s="33">
        <v>0</v>
      </c>
      <c r="Q297" s="33">
        <v>0</v>
      </c>
      <c r="R297" s="33">
        <v>0</v>
      </c>
      <c r="S297" s="33">
        <f t="shared" si="140"/>
        <v>5482.3600000000006</v>
      </c>
      <c r="AG297" s="33"/>
      <c r="AH297" s="33"/>
      <c r="AI297" s="33"/>
      <c r="AJ297" s="33"/>
      <c r="AM297" s="44"/>
      <c r="AV297" s="160"/>
      <c r="CA297" s="50">
        <v>234.95</v>
      </c>
    </row>
    <row r="298" spans="1:79" ht="37.5" x14ac:dyDescent="0.3">
      <c r="A298" s="190"/>
      <c r="B298" s="177"/>
      <c r="C298" s="151" t="s">
        <v>37</v>
      </c>
      <c r="D298" s="168"/>
      <c r="E298" s="166"/>
      <c r="F298" s="165"/>
      <c r="G298" s="142" t="s">
        <v>246</v>
      </c>
      <c r="H298" s="180"/>
      <c r="I298" s="33">
        <f>I302+I306</f>
        <v>0</v>
      </c>
      <c r="J298" s="33">
        <v>1921.75</v>
      </c>
      <c r="K298" s="33">
        <v>703.37</v>
      </c>
      <c r="L298" s="75">
        <v>828.5</v>
      </c>
      <c r="M298" s="33">
        <v>914.25</v>
      </c>
      <c r="N298" s="33">
        <v>847.2</v>
      </c>
      <c r="O298" s="33">
        <v>4310.66</v>
      </c>
      <c r="P298" s="33">
        <v>0</v>
      </c>
      <c r="Q298" s="33">
        <v>0</v>
      </c>
      <c r="R298" s="33">
        <v>0</v>
      </c>
      <c r="S298" s="33">
        <f t="shared" si="140"/>
        <v>9525.73</v>
      </c>
      <c r="AG298" s="33"/>
      <c r="AH298" s="33"/>
      <c r="AI298" s="33"/>
      <c r="AJ298" s="33"/>
      <c r="AM298" s="44"/>
      <c r="AV298" s="161"/>
      <c r="CA298" s="50">
        <v>202.08</v>
      </c>
    </row>
    <row r="299" spans="1:79" ht="37.5" hidden="1" customHeight="1" x14ac:dyDescent="0.25">
      <c r="A299" s="152"/>
      <c r="B299" s="145"/>
      <c r="C299" s="151" t="s">
        <v>186</v>
      </c>
      <c r="D299" s="168"/>
      <c r="E299" s="166"/>
      <c r="F299" s="165"/>
      <c r="G299" s="142" t="s">
        <v>246</v>
      </c>
      <c r="H299" s="166">
        <v>631</v>
      </c>
      <c r="I299" s="33">
        <f t="shared" ref="I299:N299" si="150">I300+I301+I302</f>
        <v>0</v>
      </c>
      <c r="J299" s="33">
        <f t="shared" si="150"/>
        <v>4072.4400000000005</v>
      </c>
      <c r="K299" s="33">
        <f t="shared" si="150"/>
        <v>0</v>
      </c>
      <c r="L299" s="33">
        <f t="shared" si="150"/>
        <v>0</v>
      </c>
      <c r="M299" s="33">
        <f t="shared" si="150"/>
        <v>0</v>
      </c>
      <c r="N299" s="33">
        <f t="shared" si="150"/>
        <v>0</v>
      </c>
      <c r="O299" s="33">
        <f>O300+O301+O302</f>
        <v>0</v>
      </c>
      <c r="P299" s="33"/>
      <c r="Q299" s="33"/>
      <c r="R299" s="33"/>
      <c r="S299" s="33">
        <f t="shared" si="140"/>
        <v>4072.4400000000005</v>
      </c>
      <c r="AG299" s="33"/>
      <c r="AH299" s="33"/>
      <c r="AI299" s="33"/>
      <c r="AJ299" s="33"/>
      <c r="AM299" s="44"/>
      <c r="AV299" s="54"/>
      <c r="CA299" s="50">
        <v>454.33</v>
      </c>
    </row>
    <row r="300" spans="1:79" ht="29.25" hidden="1" customHeight="1" x14ac:dyDescent="0.25">
      <c r="A300" s="152"/>
      <c r="B300" s="145"/>
      <c r="C300" s="151" t="s">
        <v>178</v>
      </c>
      <c r="D300" s="168"/>
      <c r="E300" s="166"/>
      <c r="F300" s="165"/>
      <c r="G300" s="142" t="s">
        <v>246</v>
      </c>
      <c r="H300" s="166"/>
      <c r="I300" s="33">
        <v>0</v>
      </c>
      <c r="J300" s="33">
        <v>3631.51</v>
      </c>
      <c r="K300" s="33">
        <v>0</v>
      </c>
      <c r="L300" s="33">
        <v>0</v>
      </c>
      <c r="M300" s="33">
        <v>0</v>
      </c>
      <c r="N300" s="33">
        <v>0</v>
      </c>
      <c r="O300" s="33">
        <v>0</v>
      </c>
      <c r="P300" s="33"/>
      <c r="Q300" s="33"/>
      <c r="R300" s="33"/>
      <c r="S300" s="33">
        <f t="shared" si="140"/>
        <v>3631.51</v>
      </c>
      <c r="AG300" s="33"/>
      <c r="AH300" s="33"/>
      <c r="AI300" s="33"/>
      <c r="AJ300" s="33"/>
      <c r="AM300" s="44"/>
      <c r="AV300" s="54"/>
      <c r="CA300" s="50">
        <v>108.53</v>
      </c>
    </row>
    <row r="301" spans="1:79" ht="29.25" hidden="1" customHeight="1" x14ac:dyDescent="0.25">
      <c r="A301" s="152"/>
      <c r="B301" s="145"/>
      <c r="C301" s="151" t="s">
        <v>179</v>
      </c>
      <c r="D301" s="168"/>
      <c r="E301" s="166"/>
      <c r="F301" s="165"/>
      <c r="G301" s="142" t="s">
        <v>246</v>
      </c>
      <c r="H301" s="166"/>
      <c r="I301" s="33">
        <v>0</v>
      </c>
      <c r="J301" s="33">
        <v>191.13</v>
      </c>
      <c r="K301" s="33">
        <v>0</v>
      </c>
      <c r="L301" s="33">
        <v>0</v>
      </c>
      <c r="M301" s="33">
        <v>0</v>
      </c>
      <c r="N301" s="33">
        <v>0</v>
      </c>
      <c r="O301" s="33">
        <v>0</v>
      </c>
      <c r="P301" s="33"/>
      <c r="Q301" s="33"/>
      <c r="R301" s="33"/>
      <c r="S301" s="33">
        <f t="shared" si="140"/>
        <v>191.13</v>
      </c>
      <c r="AG301" s="33"/>
      <c r="AH301" s="33"/>
      <c r="AI301" s="33"/>
      <c r="AJ301" s="33"/>
      <c r="AM301" s="44"/>
      <c r="AV301" s="54"/>
    </row>
    <row r="302" spans="1:79" ht="29.25" hidden="1" customHeight="1" x14ac:dyDescent="0.25">
      <c r="A302" s="152"/>
      <c r="B302" s="145"/>
      <c r="C302" s="151" t="s">
        <v>37</v>
      </c>
      <c r="D302" s="168"/>
      <c r="E302" s="166"/>
      <c r="F302" s="165"/>
      <c r="G302" s="142" t="s">
        <v>246</v>
      </c>
      <c r="H302" s="166"/>
      <c r="I302" s="33">
        <v>0</v>
      </c>
      <c r="J302" s="33">
        <v>249.8</v>
      </c>
      <c r="K302" s="33">
        <v>0</v>
      </c>
      <c r="L302" s="33">
        <v>0</v>
      </c>
      <c r="M302" s="33">
        <v>0</v>
      </c>
      <c r="N302" s="33">
        <v>0</v>
      </c>
      <c r="O302" s="33">
        <v>0</v>
      </c>
      <c r="P302" s="33"/>
      <c r="Q302" s="33"/>
      <c r="R302" s="33"/>
      <c r="S302" s="33">
        <f t="shared" si="140"/>
        <v>249.8</v>
      </c>
      <c r="AG302" s="33"/>
      <c r="AH302" s="33"/>
      <c r="AI302" s="33"/>
      <c r="AJ302" s="33"/>
      <c r="AM302" s="44"/>
      <c r="AV302" s="54"/>
    </row>
    <row r="303" spans="1:79" ht="42" hidden="1" customHeight="1" x14ac:dyDescent="0.25">
      <c r="A303" s="152"/>
      <c r="B303" s="145"/>
      <c r="C303" s="151" t="s">
        <v>186</v>
      </c>
      <c r="D303" s="168"/>
      <c r="E303" s="166"/>
      <c r="F303" s="165"/>
      <c r="G303" s="142" t="s">
        <v>246</v>
      </c>
      <c r="H303" s="166">
        <v>811</v>
      </c>
      <c r="I303" s="33">
        <f t="shared" ref="I303:N303" si="151">I304+I305+I306</f>
        <v>0</v>
      </c>
      <c r="J303" s="33">
        <f t="shared" si="151"/>
        <v>27257.440000000002</v>
      </c>
      <c r="K303" s="33">
        <f t="shared" si="151"/>
        <v>16464.396690000001</v>
      </c>
      <c r="L303" s="33">
        <f t="shared" si="151"/>
        <v>18226.989999999998</v>
      </c>
      <c r="M303" s="33">
        <f t="shared" si="151"/>
        <v>16729.825000000001</v>
      </c>
      <c r="N303" s="33">
        <f t="shared" si="151"/>
        <v>16729.825000000001</v>
      </c>
      <c r="O303" s="33">
        <f>O304+O305+O306</f>
        <v>16729.825000000001</v>
      </c>
      <c r="P303" s="33"/>
      <c r="Q303" s="33"/>
      <c r="R303" s="33"/>
      <c r="S303" s="33">
        <f t="shared" si="140"/>
        <v>112138.30168999999</v>
      </c>
      <c r="AG303" s="33"/>
      <c r="AH303" s="33"/>
      <c r="AI303" s="33"/>
      <c r="AJ303" s="33"/>
      <c r="AM303" s="44"/>
      <c r="AV303" s="44">
        <f>I303+I299</f>
        <v>0</v>
      </c>
    </row>
    <row r="304" spans="1:79" ht="29.25" hidden="1" customHeight="1" x14ac:dyDescent="0.3">
      <c r="A304" s="152"/>
      <c r="B304" s="145"/>
      <c r="C304" s="151" t="s">
        <v>178</v>
      </c>
      <c r="D304" s="168"/>
      <c r="E304" s="166"/>
      <c r="F304" s="165"/>
      <c r="G304" s="142" t="s">
        <v>246</v>
      </c>
      <c r="H304" s="166"/>
      <c r="I304" s="33">
        <v>0</v>
      </c>
      <c r="J304" s="33">
        <v>24306.22</v>
      </c>
      <c r="K304" s="33">
        <f>15259.775-322.45053</f>
        <v>14937.32447</v>
      </c>
      <c r="L304" s="75">
        <v>16536.439999999999</v>
      </c>
      <c r="M304" s="75">
        <v>15080.941000000001</v>
      </c>
      <c r="N304" s="75">
        <v>15080.941000000001</v>
      </c>
      <c r="O304" s="75">
        <v>15080.941000000001</v>
      </c>
      <c r="P304" s="75"/>
      <c r="Q304" s="75"/>
      <c r="R304" s="75"/>
      <c r="S304" s="33">
        <f t="shared" si="140"/>
        <v>101022.80747000001</v>
      </c>
      <c r="AG304" s="33">
        <v>15259.78</v>
      </c>
      <c r="AH304" s="75">
        <v>16536.439999999999</v>
      </c>
      <c r="AI304" s="75">
        <v>17240.84</v>
      </c>
      <c r="AJ304" s="33"/>
      <c r="AM304" s="44"/>
      <c r="AU304" s="33">
        <v>15183.12</v>
      </c>
      <c r="AV304" s="75">
        <v>16536.439999999999</v>
      </c>
      <c r="AW304" s="76">
        <v>17240.849999999999</v>
      </c>
    </row>
    <row r="305" spans="1:66" ht="29.25" hidden="1" customHeight="1" x14ac:dyDescent="0.3">
      <c r="A305" s="152"/>
      <c r="B305" s="145"/>
      <c r="C305" s="151" t="s">
        <v>179</v>
      </c>
      <c r="D305" s="168"/>
      <c r="E305" s="166"/>
      <c r="F305" s="165"/>
      <c r="G305" s="142" t="s">
        <v>246</v>
      </c>
      <c r="H305" s="166"/>
      <c r="I305" s="33">
        <v>0</v>
      </c>
      <c r="J305" s="33">
        <v>1279.27</v>
      </c>
      <c r="K305" s="33">
        <f>803.147-16.9711</f>
        <v>786.17590000000007</v>
      </c>
      <c r="L305" s="75">
        <v>870.34</v>
      </c>
      <c r="M305" s="76">
        <v>793.73400000000004</v>
      </c>
      <c r="N305" s="77">
        <v>793.73400000000004</v>
      </c>
      <c r="O305" s="77">
        <v>793.73400000000004</v>
      </c>
      <c r="P305" s="77"/>
      <c r="Q305" s="77"/>
      <c r="R305" s="77"/>
      <c r="S305" s="33">
        <f t="shared" si="140"/>
        <v>5316.987900000001</v>
      </c>
      <c r="AG305" s="33">
        <v>803.14</v>
      </c>
      <c r="AH305" s="75">
        <v>870.34</v>
      </c>
      <c r="AI305" s="75">
        <f>907.42</f>
        <v>907.42</v>
      </c>
      <c r="AJ305" s="33"/>
      <c r="AM305" s="44"/>
      <c r="AU305" s="33">
        <v>799.11</v>
      </c>
      <c r="AV305" s="76">
        <v>870.34</v>
      </c>
      <c r="AW305" s="76">
        <v>907.41</v>
      </c>
    </row>
    <row r="306" spans="1:66" ht="29.25" hidden="1" customHeight="1" x14ac:dyDescent="0.3">
      <c r="A306" s="152"/>
      <c r="B306" s="145"/>
      <c r="C306" s="151" t="s">
        <v>37</v>
      </c>
      <c r="D306" s="168"/>
      <c r="E306" s="166"/>
      <c r="F306" s="165"/>
      <c r="G306" s="142" t="s">
        <v>246</v>
      </c>
      <c r="H306" s="166"/>
      <c r="I306" s="33">
        <v>0</v>
      </c>
      <c r="J306" s="33">
        <v>1671.95</v>
      </c>
      <c r="K306" s="33">
        <f>756.89-15.99368</f>
        <v>740.89631999999995</v>
      </c>
      <c r="L306" s="75">
        <v>820.21</v>
      </c>
      <c r="M306" s="75">
        <f>855.15</f>
        <v>855.15</v>
      </c>
      <c r="N306" s="75">
        <f>855.15</f>
        <v>855.15</v>
      </c>
      <c r="O306" s="75">
        <f>855.15</f>
        <v>855.15</v>
      </c>
      <c r="P306" s="75"/>
      <c r="Q306" s="75"/>
      <c r="R306" s="75"/>
      <c r="S306" s="33">
        <f t="shared" si="140"/>
        <v>5798.5063199999995</v>
      </c>
      <c r="AG306" s="33">
        <v>756.89</v>
      </c>
      <c r="AH306" s="75">
        <v>820.21</v>
      </c>
      <c r="AI306" s="75">
        <f>855.15</f>
        <v>855.15</v>
      </c>
      <c r="AJ306" s="33"/>
      <c r="AM306" s="44"/>
      <c r="AU306" s="33">
        <v>753.09</v>
      </c>
      <c r="AV306" s="76">
        <v>820.21</v>
      </c>
      <c r="AW306" s="76">
        <v>855.15</v>
      </c>
    </row>
    <row r="307" spans="1:66" x14ac:dyDescent="0.25">
      <c r="A307" s="190"/>
      <c r="B307" s="177"/>
      <c r="C307" s="151" t="s">
        <v>186</v>
      </c>
      <c r="D307" s="168" t="s">
        <v>25</v>
      </c>
      <c r="E307" s="166">
        <v>925</v>
      </c>
      <c r="F307" s="165" t="s">
        <v>60</v>
      </c>
      <c r="G307" s="142" t="s">
        <v>246</v>
      </c>
      <c r="H307" s="166">
        <v>810</v>
      </c>
      <c r="I307" s="33">
        <f t="shared" ref="I307:N307" si="152">I308+I309+I310</f>
        <v>0</v>
      </c>
      <c r="J307" s="33">
        <f t="shared" si="152"/>
        <v>36548.629999999997</v>
      </c>
      <c r="K307" s="33">
        <f t="shared" si="152"/>
        <v>18442.885880000002</v>
      </c>
      <c r="L307" s="33">
        <f t="shared" si="152"/>
        <v>11010.970000000001</v>
      </c>
      <c r="M307" s="33">
        <f t="shared" si="152"/>
        <v>11211.06</v>
      </c>
      <c r="N307" s="33">
        <f t="shared" si="152"/>
        <v>14959.880000000001</v>
      </c>
      <c r="O307" s="33">
        <f>O308+O309+O310</f>
        <v>16257.81</v>
      </c>
      <c r="P307" s="33">
        <f>P308+P309+P310</f>
        <v>0</v>
      </c>
      <c r="Q307" s="33">
        <f>Q308+Q309+Q310</f>
        <v>0</v>
      </c>
      <c r="R307" s="33">
        <f>R308+R309+R310</f>
        <v>0</v>
      </c>
      <c r="S307" s="33">
        <f t="shared" si="140"/>
        <v>108431.23587999999</v>
      </c>
      <c r="AG307" s="33"/>
      <c r="AH307" s="33"/>
      <c r="AI307" s="33"/>
      <c r="AJ307" s="33"/>
      <c r="AM307" s="44"/>
    </row>
    <row r="308" spans="1:66" ht="56.25" x14ac:dyDescent="0.3">
      <c r="A308" s="190"/>
      <c r="B308" s="177"/>
      <c r="C308" s="151" t="s">
        <v>178</v>
      </c>
      <c r="D308" s="168"/>
      <c r="E308" s="166"/>
      <c r="F308" s="165"/>
      <c r="G308" s="142" t="s">
        <v>246</v>
      </c>
      <c r="H308" s="166"/>
      <c r="I308" s="33">
        <v>0</v>
      </c>
      <c r="J308" s="33">
        <v>32591.43</v>
      </c>
      <c r="K308" s="33">
        <f>16612.58+119.72612</f>
        <v>16732.306120000001</v>
      </c>
      <c r="L308" s="75">
        <v>9953.5</v>
      </c>
      <c r="M308" s="75">
        <v>10092.950000000001</v>
      </c>
      <c r="N308" s="75">
        <v>13507.95</v>
      </c>
      <c r="O308" s="75">
        <v>12204.88</v>
      </c>
      <c r="P308" s="75">
        <v>0</v>
      </c>
      <c r="Q308" s="75">
        <v>0</v>
      </c>
      <c r="R308" s="75">
        <v>0</v>
      </c>
      <c r="S308" s="33">
        <f t="shared" si="140"/>
        <v>95083.01612</v>
      </c>
      <c r="AG308" s="33">
        <v>16612.580000000002</v>
      </c>
      <c r="AH308" s="75">
        <v>16536.439999999999</v>
      </c>
      <c r="AI308" s="75">
        <f>17240.85</f>
        <v>17240.849999999999</v>
      </c>
      <c r="AJ308" s="33"/>
      <c r="AM308" s="44"/>
    </row>
    <row r="309" spans="1:66" ht="37.5" x14ac:dyDescent="0.3">
      <c r="A309" s="190"/>
      <c r="B309" s="177"/>
      <c r="C309" s="151" t="s">
        <v>179</v>
      </c>
      <c r="D309" s="168"/>
      <c r="E309" s="166"/>
      <c r="F309" s="165"/>
      <c r="G309" s="142" t="s">
        <v>246</v>
      </c>
      <c r="H309" s="166"/>
      <c r="I309" s="33">
        <v>0</v>
      </c>
      <c r="J309" s="33">
        <v>1715.34</v>
      </c>
      <c r="K309" s="33">
        <f>874.35+6.30135</f>
        <v>880.65134999999998</v>
      </c>
      <c r="L309" s="75">
        <v>523.87</v>
      </c>
      <c r="M309" s="76">
        <v>531.21</v>
      </c>
      <c r="N309" s="76">
        <v>710.94</v>
      </c>
      <c r="O309" s="76">
        <v>642.36</v>
      </c>
      <c r="P309" s="76">
        <v>0</v>
      </c>
      <c r="Q309" s="76">
        <v>0</v>
      </c>
      <c r="R309" s="76">
        <v>0</v>
      </c>
      <c r="S309" s="33">
        <f t="shared" si="140"/>
        <v>5004.3713499999994</v>
      </c>
      <c r="AG309" s="33">
        <v>874.35</v>
      </c>
      <c r="AH309" s="75">
        <v>870.34</v>
      </c>
      <c r="AI309" s="75">
        <v>907.41</v>
      </c>
      <c r="AJ309" s="33"/>
      <c r="AM309" s="44"/>
      <c r="BN309" s="35" t="s">
        <v>151</v>
      </c>
    </row>
    <row r="310" spans="1:66" ht="37.5" x14ac:dyDescent="0.3">
      <c r="A310" s="190"/>
      <c r="B310" s="177"/>
      <c r="C310" s="151" t="s">
        <v>37</v>
      </c>
      <c r="D310" s="168"/>
      <c r="E310" s="166"/>
      <c r="F310" s="165"/>
      <c r="G310" s="142" t="s">
        <v>246</v>
      </c>
      <c r="H310" s="166"/>
      <c r="I310" s="33">
        <v>0</v>
      </c>
      <c r="J310" s="33">
        <v>2241.86</v>
      </c>
      <c r="K310" s="33">
        <f>823.99+5.93841</f>
        <v>829.92840999999999</v>
      </c>
      <c r="L310" s="75">
        <v>533.6</v>
      </c>
      <c r="M310" s="75">
        <v>586.9</v>
      </c>
      <c r="N310" s="75">
        <v>740.99</v>
      </c>
      <c r="O310" s="75">
        <v>3410.57</v>
      </c>
      <c r="P310" s="75">
        <v>0</v>
      </c>
      <c r="Q310" s="75">
        <v>0</v>
      </c>
      <c r="R310" s="75">
        <v>0</v>
      </c>
      <c r="S310" s="33">
        <f t="shared" si="140"/>
        <v>8343.8484100000005</v>
      </c>
      <c r="AG310" s="33">
        <v>823.99</v>
      </c>
      <c r="AH310" s="75">
        <v>820.21</v>
      </c>
      <c r="AI310" s="75">
        <v>855.15</v>
      </c>
      <c r="AJ310" s="33"/>
      <c r="AM310" s="44"/>
    </row>
    <row r="311" spans="1:66" x14ac:dyDescent="0.25">
      <c r="A311" s="190"/>
      <c r="B311" s="177"/>
      <c r="C311" s="151" t="s">
        <v>186</v>
      </c>
      <c r="D311" s="168" t="s">
        <v>26</v>
      </c>
      <c r="E311" s="166">
        <v>928</v>
      </c>
      <c r="F311" s="165" t="s">
        <v>60</v>
      </c>
      <c r="G311" s="142" t="s">
        <v>246</v>
      </c>
      <c r="H311" s="180" t="s">
        <v>262</v>
      </c>
      <c r="I311" s="33">
        <f t="shared" ref="I311:R311" si="153">I312+I313+I314</f>
        <v>0</v>
      </c>
      <c r="J311" s="33">
        <f t="shared" si="153"/>
        <v>23082.74</v>
      </c>
      <c r="K311" s="33">
        <f t="shared" si="153"/>
        <v>16748.89</v>
      </c>
      <c r="L311" s="33">
        <f t="shared" si="153"/>
        <v>15785.189999999999</v>
      </c>
      <c r="M311" s="33">
        <f t="shared" si="153"/>
        <v>25626.739999999998</v>
      </c>
      <c r="N311" s="33">
        <f t="shared" si="153"/>
        <v>16349.6</v>
      </c>
      <c r="O311" s="33">
        <f t="shared" si="153"/>
        <v>23209.909999999996</v>
      </c>
      <c r="P311" s="33">
        <f t="shared" si="153"/>
        <v>0</v>
      </c>
      <c r="Q311" s="33">
        <f t="shared" si="153"/>
        <v>0</v>
      </c>
      <c r="R311" s="33">
        <f t="shared" si="153"/>
        <v>0</v>
      </c>
      <c r="S311" s="33">
        <f t="shared" si="140"/>
        <v>120803.07</v>
      </c>
      <c r="AG311" s="33"/>
      <c r="AH311" s="33"/>
      <c r="AI311" s="33"/>
      <c r="AJ311" s="33"/>
      <c r="AM311" s="44"/>
    </row>
    <row r="312" spans="1:66" ht="56.25" x14ac:dyDescent="0.25">
      <c r="A312" s="190"/>
      <c r="B312" s="177"/>
      <c r="C312" s="151" t="s">
        <v>178</v>
      </c>
      <c r="D312" s="168"/>
      <c r="E312" s="166"/>
      <c r="F312" s="165"/>
      <c r="G312" s="142" t="s">
        <v>246</v>
      </c>
      <c r="H312" s="180"/>
      <c r="I312" s="33">
        <f>I316+I320</f>
        <v>0</v>
      </c>
      <c r="J312" s="33">
        <f>20583.54-0.03</f>
        <v>20583.510000000002</v>
      </c>
      <c r="K312" s="33">
        <v>15195.43</v>
      </c>
      <c r="L312" s="33">
        <v>14269.21</v>
      </c>
      <c r="M312" s="33">
        <v>23070.92</v>
      </c>
      <c r="N312" s="33">
        <v>14762.78</v>
      </c>
      <c r="O312" s="33">
        <v>17423.87</v>
      </c>
      <c r="P312" s="33">
        <v>0</v>
      </c>
      <c r="Q312" s="33">
        <v>0</v>
      </c>
      <c r="R312" s="33">
        <v>0</v>
      </c>
      <c r="S312" s="33">
        <f t="shared" si="140"/>
        <v>105305.72</v>
      </c>
      <c r="AG312" s="33"/>
      <c r="AH312" s="33"/>
      <c r="AI312" s="33"/>
      <c r="AJ312" s="33"/>
      <c r="AM312" s="44"/>
    </row>
    <row r="313" spans="1:66" ht="37.5" x14ac:dyDescent="0.25">
      <c r="A313" s="190"/>
      <c r="B313" s="177"/>
      <c r="C313" s="151" t="s">
        <v>179</v>
      </c>
      <c r="D313" s="168"/>
      <c r="E313" s="166"/>
      <c r="F313" s="165"/>
      <c r="G313" s="142" t="s">
        <v>246</v>
      </c>
      <c r="H313" s="180"/>
      <c r="I313" s="33">
        <f>I317+I321</f>
        <v>0</v>
      </c>
      <c r="J313" s="33">
        <f>1083.34+0.01</f>
        <v>1083.3499999999999</v>
      </c>
      <c r="K313" s="33">
        <v>799.76</v>
      </c>
      <c r="L313" s="33">
        <v>751.01</v>
      </c>
      <c r="M313" s="33">
        <v>1214.26</v>
      </c>
      <c r="N313" s="33">
        <v>776.99</v>
      </c>
      <c r="O313" s="33">
        <v>917.05</v>
      </c>
      <c r="P313" s="33">
        <v>0</v>
      </c>
      <c r="Q313" s="33">
        <v>0</v>
      </c>
      <c r="R313" s="33">
        <v>0</v>
      </c>
      <c r="S313" s="33">
        <f t="shared" si="140"/>
        <v>5542.42</v>
      </c>
      <c r="AG313" s="33"/>
      <c r="AH313" s="33"/>
      <c r="AI313" s="33"/>
      <c r="AJ313" s="33"/>
      <c r="AM313" s="44"/>
    </row>
    <row r="314" spans="1:66" ht="37.5" x14ac:dyDescent="0.25">
      <c r="A314" s="190"/>
      <c r="B314" s="177"/>
      <c r="C314" s="151" t="s">
        <v>37</v>
      </c>
      <c r="D314" s="168"/>
      <c r="E314" s="166"/>
      <c r="F314" s="165"/>
      <c r="G314" s="142" t="s">
        <v>246</v>
      </c>
      <c r="H314" s="180"/>
      <c r="I314" s="33">
        <f>I318+I322</f>
        <v>0</v>
      </c>
      <c r="J314" s="33">
        <f>1415.85+0.03</f>
        <v>1415.8799999999999</v>
      </c>
      <c r="K314" s="33">
        <v>753.7</v>
      </c>
      <c r="L314" s="33">
        <v>764.97</v>
      </c>
      <c r="M314" s="33">
        <v>1341.56</v>
      </c>
      <c r="N314" s="33">
        <v>809.83</v>
      </c>
      <c r="O314" s="33">
        <f>4868.98+0.01</f>
        <v>4868.99</v>
      </c>
      <c r="P314" s="33">
        <v>0</v>
      </c>
      <c r="Q314" s="33">
        <v>0</v>
      </c>
      <c r="R314" s="33">
        <v>0</v>
      </c>
      <c r="S314" s="33">
        <f t="shared" si="140"/>
        <v>9954.93</v>
      </c>
      <c r="AG314" s="33"/>
      <c r="AH314" s="33"/>
      <c r="AI314" s="33"/>
      <c r="AJ314" s="33"/>
      <c r="AM314" s="44"/>
    </row>
    <row r="315" spans="1:66" ht="36" hidden="1" customHeight="1" x14ac:dyDescent="0.25">
      <c r="A315" s="152"/>
      <c r="B315" s="145"/>
      <c r="C315" s="151" t="s">
        <v>186</v>
      </c>
      <c r="D315" s="168"/>
      <c r="E315" s="166"/>
      <c r="F315" s="165"/>
      <c r="G315" s="142" t="s">
        <v>246</v>
      </c>
      <c r="H315" s="166">
        <v>631</v>
      </c>
      <c r="I315" s="33">
        <f t="shared" ref="I315:N315" si="154">I316+I317+I318</f>
        <v>0</v>
      </c>
      <c r="J315" s="33">
        <f t="shared" si="154"/>
        <v>1676.97</v>
      </c>
      <c r="K315" s="33">
        <f t="shared" si="154"/>
        <v>0</v>
      </c>
      <c r="L315" s="33">
        <f t="shared" si="154"/>
        <v>0</v>
      </c>
      <c r="M315" s="33">
        <f t="shared" si="154"/>
        <v>0</v>
      </c>
      <c r="N315" s="33">
        <f t="shared" si="154"/>
        <v>0</v>
      </c>
      <c r="O315" s="33">
        <f>O316+O317+O318</f>
        <v>0</v>
      </c>
      <c r="P315" s="33"/>
      <c r="Q315" s="33"/>
      <c r="R315" s="33"/>
      <c r="S315" s="33">
        <f t="shared" si="140"/>
        <v>1676.97</v>
      </c>
      <c r="AG315" s="33"/>
      <c r="AH315" s="33"/>
      <c r="AI315" s="33"/>
      <c r="AJ315" s="33"/>
      <c r="AM315" s="44"/>
      <c r="AV315" s="54"/>
    </row>
    <row r="316" spans="1:66" ht="27" hidden="1" customHeight="1" x14ac:dyDescent="0.25">
      <c r="A316" s="152"/>
      <c r="B316" s="145"/>
      <c r="C316" s="151" t="s">
        <v>178</v>
      </c>
      <c r="D316" s="168"/>
      <c r="E316" s="166"/>
      <c r="F316" s="165"/>
      <c r="G316" s="142" t="s">
        <v>246</v>
      </c>
      <c r="H316" s="166"/>
      <c r="I316" s="33">
        <v>0</v>
      </c>
      <c r="J316" s="33">
        <v>1495.41</v>
      </c>
      <c r="K316" s="33">
        <v>0</v>
      </c>
      <c r="L316" s="33">
        <v>0</v>
      </c>
      <c r="M316" s="33">
        <v>0</v>
      </c>
      <c r="N316" s="33">
        <v>0</v>
      </c>
      <c r="O316" s="33">
        <v>0</v>
      </c>
      <c r="P316" s="33"/>
      <c r="Q316" s="33"/>
      <c r="R316" s="33"/>
      <c r="S316" s="33">
        <f t="shared" si="140"/>
        <v>1495.41</v>
      </c>
      <c r="AG316" s="33"/>
      <c r="AH316" s="33"/>
      <c r="AI316" s="33"/>
      <c r="AJ316" s="33"/>
      <c r="AM316" s="44"/>
      <c r="AV316" s="54"/>
    </row>
    <row r="317" spans="1:66" ht="27" hidden="1" customHeight="1" x14ac:dyDescent="0.25">
      <c r="A317" s="152"/>
      <c r="B317" s="145"/>
      <c r="C317" s="151" t="s">
        <v>179</v>
      </c>
      <c r="D317" s="168"/>
      <c r="E317" s="166"/>
      <c r="F317" s="165"/>
      <c r="G317" s="142" t="s">
        <v>246</v>
      </c>
      <c r="H317" s="166"/>
      <c r="I317" s="33">
        <v>0</v>
      </c>
      <c r="J317" s="33">
        <v>78.7</v>
      </c>
      <c r="K317" s="33">
        <v>0</v>
      </c>
      <c r="L317" s="33">
        <v>0</v>
      </c>
      <c r="M317" s="33">
        <v>0</v>
      </c>
      <c r="N317" s="33">
        <v>0</v>
      </c>
      <c r="O317" s="33">
        <v>0</v>
      </c>
      <c r="P317" s="33"/>
      <c r="Q317" s="33"/>
      <c r="R317" s="33"/>
      <c r="S317" s="33">
        <f t="shared" si="140"/>
        <v>78.7</v>
      </c>
      <c r="AG317" s="33"/>
      <c r="AH317" s="33"/>
      <c r="AI317" s="33"/>
      <c r="AJ317" s="33"/>
      <c r="AM317" s="44"/>
      <c r="AV317" s="54"/>
    </row>
    <row r="318" spans="1:66" ht="27" hidden="1" customHeight="1" x14ac:dyDescent="0.25">
      <c r="A318" s="152"/>
      <c r="B318" s="145"/>
      <c r="C318" s="151" t="s">
        <v>37</v>
      </c>
      <c r="D318" s="168"/>
      <c r="E318" s="166"/>
      <c r="F318" s="165"/>
      <c r="G318" s="142" t="s">
        <v>246</v>
      </c>
      <c r="H318" s="166"/>
      <c r="I318" s="33">
        <v>0</v>
      </c>
      <c r="J318" s="33">
        <v>102.86</v>
      </c>
      <c r="K318" s="33">
        <v>0</v>
      </c>
      <c r="L318" s="33">
        <v>0</v>
      </c>
      <c r="M318" s="33">
        <v>0</v>
      </c>
      <c r="N318" s="33">
        <v>0</v>
      </c>
      <c r="O318" s="33">
        <v>0</v>
      </c>
      <c r="P318" s="33"/>
      <c r="Q318" s="33"/>
      <c r="R318" s="33"/>
      <c r="S318" s="33">
        <f t="shared" si="140"/>
        <v>102.86</v>
      </c>
      <c r="AG318" s="33"/>
      <c r="AH318" s="33"/>
      <c r="AI318" s="33"/>
      <c r="AJ318" s="33"/>
      <c r="AM318" s="44"/>
      <c r="AV318" s="54"/>
    </row>
    <row r="319" spans="1:66" ht="36.75" hidden="1" customHeight="1" x14ac:dyDescent="0.25">
      <c r="A319" s="152"/>
      <c r="B319" s="145"/>
      <c r="C319" s="151" t="s">
        <v>186</v>
      </c>
      <c r="D319" s="168"/>
      <c r="E319" s="166"/>
      <c r="F319" s="165"/>
      <c r="G319" s="142" t="s">
        <v>246</v>
      </c>
      <c r="H319" s="166">
        <v>811</v>
      </c>
      <c r="I319" s="33">
        <f t="shared" ref="I319:N319" si="155">I320+I321+I322</f>
        <v>0</v>
      </c>
      <c r="J319" s="33">
        <f t="shared" si="155"/>
        <v>21405.759999999998</v>
      </c>
      <c r="K319" s="33">
        <f t="shared" si="155"/>
        <v>16748.89228</v>
      </c>
      <c r="L319" s="33">
        <f t="shared" si="155"/>
        <v>18226.989999999998</v>
      </c>
      <c r="M319" s="33">
        <f t="shared" si="155"/>
        <v>16729.834000000003</v>
      </c>
      <c r="N319" s="33">
        <f t="shared" si="155"/>
        <v>16729.834000000003</v>
      </c>
      <c r="O319" s="33">
        <f>O320+O321+O322</f>
        <v>16729.834000000003</v>
      </c>
      <c r="P319" s="33"/>
      <c r="Q319" s="33"/>
      <c r="R319" s="33"/>
      <c r="S319" s="33">
        <f t="shared" si="140"/>
        <v>106571.14428000001</v>
      </c>
      <c r="AG319" s="33"/>
      <c r="AH319" s="33"/>
      <c r="AI319" s="33"/>
      <c r="AJ319" s="33"/>
      <c r="AM319" s="44"/>
      <c r="AV319" s="44">
        <f>I319+I315</f>
        <v>0</v>
      </c>
    </row>
    <row r="320" spans="1:66" ht="27" hidden="1" customHeight="1" x14ac:dyDescent="0.3">
      <c r="A320" s="152"/>
      <c r="B320" s="145"/>
      <c r="C320" s="151" t="s">
        <v>178</v>
      </c>
      <c r="D320" s="168"/>
      <c r="E320" s="166"/>
      <c r="F320" s="165"/>
      <c r="G320" s="142" t="s">
        <v>246</v>
      </c>
      <c r="H320" s="166"/>
      <c r="I320" s="33">
        <v>0</v>
      </c>
      <c r="J320" s="33">
        <v>19088.11</v>
      </c>
      <c r="K320" s="33">
        <f>16049.67-854.23734</f>
        <v>15195.43266</v>
      </c>
      <c r="L320" s="75">
        <v>16536.439999999999</v>
      </c>
      <c r="M320" s="75">
        <v>15080.941000000001</v>
      </c>
      <c r="N320" s="75">
        <v>15080.941000000001</v>
      </c>
      <c r="O320" s="75">
        <v>15080.941000000001</v>
      </c>
      <c r="P320" s="75"/>
      <c r="Q320" s="75"/>
      <c r="R320" s="75"/>
      <c r="S320" s="33">
        <f t="shared" si="140"/>
        <v>96062.805660000013</v>
      </c>
      <c r="AG320" s="33">
        <v>16049.67</v>
      </c>
      <c r="AH320" s="75">
        <v>16536.439999999999</v>
      </c>
      <c r="AI320" s="75">
        <v>17240.84</v>
      </c>
      <c r="AJ320" s="33"/>
      <c r="AM320" s="44"/>
      <c r="AV320" s="44"/>
    </row>
    <row r="321" spans="1:48" ht="27" hidden="1" customHeight="1" x14ac:dyDescent="0.3">
      <c r="A321" s="152"/>
      <c r="B321" s="145"/>
      <c r="C321" s="151" t="s">
        <v>179</v>
      </c>
      <c r="D321" s="168"/>
      <c r="E321" s="166"/>
      <c r="F321" s="165"/>
      <c r="G321" s="142" t="s">
        <v>246</v>
      </c>
      <c r="H321" s="166"/>
      <c r="I321" s="33">
        <v>0</v>
      </c>
      <c r="J321" s="33">
        <v>1004.64</v>
      </c>
      <c r="K321" s="33">
        <f>844.72-44.95987</f>
        <v>799.76013</v>
      </c>
      <c r="L321" s="75">
        <v>870.34</v>
      </c>
      <c r="M321" s="76">
        <v>793.73299999999995</v>
      </c>
      <c r="N321" s="77">
        <v>793.73299999999995</v>
      </c>
      <c r="O321" s="77">
        <v>793.73299999999995</v>
      </c>
      <c r="P321" s="77"/>
      <c r="Q321" s="77"/>
      <c r="R321" s="77"/>
      <c r="S321" s="33">
        <f t="shared" si="140"/>
        <v>5055.9391300000007</v>
      </c>
      <c r="AG321" s="33">
        <v>844.72</v>
      </c>
      <c r="AH321" s="75">
        <v>870.34</v>
      </c>
      <c r="AI321" s="75">
        <f>907.41</f>
        <v>907.41</v>
      </c>
      <c r="AJ321" s="33"/>
      <c r="AM321" s="44"/>
      <c r="AV321" s="44">
        <f>I321+I317</f>
        <v>0</v>
      </c>
    </row>
    <row r="322" spans="1:48" ht="27" hidden="1" customHeight="1" x14ac:dyDescent="0.3">
      <c r="A322" s="152"/>
      <c r="B322" s="145"/>
      <c r="C322" s="151" t="s">
        <v>37</v>
      </c>
      <c r="D322" s="168"/>
      <c r="E322" s="166"/>
      <c r="F322" s="165"/>
      <c r="G322" s="142" t="s">
        <v>246</v>
      </c>
      <c r="H322" s="166"/>
      <c r="I322" s="33">
        <v>0</v>
      </c>
      <c r="J322" s="33">
        <v>1313.01</v>
      </c>
      <c r="K322" s="33">
        <f>796.07-42.37051</f>
        <v>753.69949000000008</v>
      </c>
      <c r="L322" s="75">
        <v>820.21</v>
      </c>
      <c r="M322" s="75">
        <f>855.16</f>
        <v>855.16</v>
      </c>
      <c r="N322" s="75">
        <f>855.16</f>
        <v>855.16</v>
      </c>
      <c r="O322" s="75">
        <f>855.16</f>
        <v>855.16</v>
      </c>
      <c r="P322" s="75"/>
      <c r="Q322" s="75"/>
      <c r="R322" s="75"/>
      <c r="S322" s="33">
        <f t="shared" si="140"/>
        <v>5452.3994899999998</v>
      </c>
      <c r="AG322" s="33">
        <v>796.07</v>
      </c>
      <c r="AH322" s="75">
        <v>820.21</v>
      </c>
      <c r="AI322" s="75">
        <f>855.16</f>
        <v>855.16</v>
      </c>
      <c r="AJ322" s="33"/>
      <c r="AM322" s="44"/>
      <c r="AV322" s="44">
        <f>I322+I318</f>
        <v>0</v>
      </c>
    </row>
    <row r="323" spans="1:48" x14ac:dyDescent="0.25">
      <c r="A323" s="190"/>
      <c r="B323" s="177"/>
      <c r="C323" s="151" t="s">
        <v>186</v>
      </c>
      <c r="D323" s="168" t="s">
        <v>27</v>
      </c>
      <c r="E323" s="166">
        <v>931</v>
      </c>
      <c r="F323" s="165" t="s">
        <v>60</v>
      </c>
      <c r="G323" s="142" t="s">
        <v>246</v>
      </c>
      <c r="H323" s="180" t="s">
        <v>262</v>
      </c>
      <c r="I323" s="33">
        <f t="shared" ref="I323:R323" si="156">I324+I325+I326</f>
        <v>0</v>
      </c>
      <c r="J323" s="33">
        <f t="shared" si="156"/>
        <v>28215.739999999998</v>
      </c>
      <c r="K323" s="33">
        <f t="shared" si="156"/>
        <v>17266.14</v>
      </c>
      <c r="L323" s="33">
        <f t="shared" si="156"/>
        <v>23870.639999999999</v>
      </c>
      <c r="M323" s="33">
        <f t="shared" si="156"/>
        <v>12088.02</v>
      </c>
      <c r="N323" s="33">
        <f t="shared" si="156"/>
        <v>15232.259999999998</v>
      </c>
      <c r="O323" s="33">
        <f t="shared" si="156"/>
        <v>18406.830000000002</v>
      </c>
      <c r="P323" s="33">
        <f t="shared" si="156"/>
        <v>0</v>
      </c>
      <c r="Q323" s="33">
        <f t="shared" si="156"/>
        <v>0</v>
      </c>
      <c r="R323" s="33">
        <f t="shared" si="156"/>
        <v>0</v>
      </c>
      <c r="S323" s="33">
        <f t="shared" si="140"/>
        <v>115079.62999999999</v>
      </c>
      <c r="AG323" s="33"/>
      <c r="AH323" s="33"/>
      <c r="AI323" s="33"/>
      <c r="AJ323" s="33"/>
      <c r="AM323" s="44"/>
    </row>
    <row r="324" spans="1:48" ht="56.25" x14ac:dyDescent="0.25">
      <c r="A324" s="190"/>
      <c r="B324" s="177"/>
      <c r="C324" s="151" t="s">
        <v>178</v>
      </c>
      <c r="D324" s="168"/>
      <c r="E324" s="166"/>
      <c r="F324" s="165"/>
      <c r="G324" s="142" t="s">
        <v>246</v>
      </c>
      <c r="H324" s="180"/>
      <c r="I324" s="33">
        <f>I328+I332</f>
        <v>0</v>
      </c>
      <c r="J324" s="33">
        <v>25160.76</v>
      </c>
      <c r="K324" s="33">
        <v>15664.7</v>
      </c>
      <c r="L324" s="33">
        <v>21578.15</v>
      </c>
      <c r="M324" s="33">
        <v>10882.45</v>
      </c>
      <c r="N324" s="33">
        <v>13753.88</v>
      </c>
      <c r="O324" s="33">
        <v>13818.17</v>
      </c>
      <c r="P324" s="33">
        <v>0</v>
      </c>
      <c r="Q324" s="33">
        <v>0</v>
      </c>
      <c r="R324" s="33">
        <v>0</v>
      </c>
      <c r="S324" s="33">
        <f t="shared" si="140"/>
        <v>100858.11</v>
      </c>
      <c r="AG324" s="33"/>
      <c r="AH324" s="33"/>
      <c r="AI324" s="33"/>
      <c r="AJ324" s="33"/>
      <c r="AM324" s="44"/>
    </row>
    <row r="325" spans="1:48" ht="37.5" x14ac:dyDescent="0.25">
      <c r="A325" s="190"/>
      <c r="B325" s="177"/>
      <c r="C325" s="151" t="s">
        <v>179</v>
      </c>
      <c r="D325" s="168"/>
      <c r="E325" s="166"/>
      <c r="F325" s="165"/>
      <c r="G325" s="142" t="s">
        <v>246</v>
      </c>
      <c r="H325" s="180"/>
      <c r="I325" s="33">
        <f>I329+I333</f>
        <v>0</v>
      </c>
      <c r="J325" s="33">
        <v>1324.25</v>
      </c>
      <c r="K325" s="33">
        <v>824.46</v>
      </c>
      <c r="L325" s="33">
        <v>1135.69</v>
      </c>
      <c r="M325" s="33">
        <v>572.76</v>
      </c>
      <c r="N325" s="33">
        <v>723.89</v>
      </c>
      <c r="O325" s="33">
        <v>727.27</v>
      </c>
      <c r="P325" s="33">
        <v>0</v>
      </c>
      <c r="Q325" s="33">
        <v>0</v>
      </c>
      <c r="R325" s="33">
        <v>0</v>
      </c>
      <c r="S325" s="33">
        <f t="shared" si="140"/>
        <v>5308.32</v>
      </c>
      <c r="AG325" s="33"/>
      <c r="AH325" s="33"/>
      <c r="AI325" s="33"/>
      <c r="AJ325" s="33"/>
      <c r="AM325" s="44"/>
    </row>
    <row r="326" spans="1:48" ht="37.5" x14ac:dyDescent="0.25">
      <c r="A326" s="190"/>
      <c r="B326" s="177"/>
      <c r="C326" s="151" t="s">
        <v>37</v>
      </c>
      <c r="D326" s="168"/>
      <c r="E326" s="166"/>
      <c r="F326" s="165"/>
      <c r="G326" s="142" t="s">
        <v>246</v>
      </c>
      <c r="H326" s="180"/>
      <c r="I326" s="33">
        <f>I330+I334</f>
        <v>0</v>
      </c>
      <c r="J326" s="33">
        <v>1730.73</v>
      </c>
      <c r="K326" s="33">
        <v>776.98</v>
      </c>
      <c r="L326" s="33">
        <v>1156.8</v>
      </c>
      <c r="M326" s="33">
        <v>632.80999999999995</v>
      </c>
      <c r="N326" s="33">
        <v>754.49</v>
      </c>
      <c r="O326" s="33">
        <f>3861.396-0.006</f>
        <v>3861.3900000000003</v>
      </c>
      <c r="P326" s="33">
        <v>0</v>
      </c>
      <c r="Q326" s="33">
        <v>0</v>
      </c>
      <c r="R326" s="33">
        <v>0</v>
      </c>
      <c r="S326" s="33">
        <f t="shared" si="140"/>
        <v>8913.2000000000007</v>
      </c>
      <c r="AG326" s="33"/>
      <c r="AH326" s="33"/>
      <c r="AI326" s="33"/>
      <c r="AJ326" s="33"/>
      <c r="AM326" s="44"/>
    </row>
    <row r="327" spans="1:48" ht="41.25" hidden="1" customHeight="1" x14ac:dyDescent="0.25">
      <c r="A327" s="152"/>
      <c r="B327" s="145"/>
      <c r="C327" s="151" t="s">
        <v>186</v>
      </c>
      <c r="D327" s="168"/>
      <c r="E327" s="166"/>
      <c r="F327" s="165"/>
      <c r="G327" s="142" t="s">
        <v>246</v>
      </c>
      <c r="H327" s="166">
        <v>631</v>
      </c>
      <c r="I327" s="33">
        <f t="shared" ref="I327:N327" si="157">I328+I329+I330</f>
        <v>0</v>
      </c>
      <c r="J327" s="33">
        <f t="shared" si="157"/>
        <v>3628.63</v>
      </c>
      <c r="K327" s="33">
        <f t="shared" si="157"/>
        <v>0</v>
      </c>
      <c r="L327" s="33">
        <f t="shared" si="157"/>
        <v>0</v>
      </c>
      <c r="M327" s="33">
        <f t="shared" si="157"/>
        <v>0</v>
      </c>
      <c r="N327" s="33">
        <f t="shared" si="157"/>
        <v>0</v>
      </c>
      <c r="O327" s="33">
        <f>O328+O329+O330</f>
        <v>0</v>
      </c>
      <c r="P327" s="33"/>
      <c r="Q327" s="33"/>
      <c r="R327" s="33"/>
      <c r="S327" s="33">
        <f t="shared" si="140"/>
        <v>3628.63</v>
      </c>
      <c r="AG327" s="33"/>
      <c r="AH327" s="33"/>
      <c r="AI327" s="33"/>
      <c r="AJ327" s="33"/>
      <c r="AM327" s="44"/>
    </row>
    <row r="328" spans="1:48" ht="27" hidden="1" customHeight="1" x14ac:dyDescent="0.25">
      <c r="A328" s="152"/>
      <c r="B328" s="145"/>
      <c r="C328" s="151" t="s">
        <v>178</v>
      </c>
      <c r="D328" s="168"/>
      <c r="E328" s="166"/>
      <c r="F328" s="165"/>
      <c r="G328" s="142" t="s">
        <v>246</v>
      </c>
      <c r="H328" s="166"/>
      <c r="I328" s="33">
        <v>0</v>
      </c>
      <c r="J328" s="33">
        <v>3235.75</v>
      </c>
      <c r="K328" s="33">
        <v>0</v>
      </c>
      <c r="L328" s="33">
        <v>0</v>
      </c>
      <c r="M328" s="33">
        <v>0</v>
      </c>
      <c r="N328" s="33">
        <v>0</v>
      </c>
      <c r="O328" s="33">
        <v>0</v>
      </c>
      <c r="P328" s="33"/>
      <c r="Q328" s="33"/>
      <c r="R328" s="33"/>
      <c r="S328" s="33">
        <f t="shared" ref="S328:S350" si="158">SUM(I328:R328)</f>
        <v>3235.75</v>
      </c>
      <c r="AG328" s="33"/>
      <c r="AH328" s="33"/>
      <c r="AI328" s="33"/>
      <c r="AJ328" s="33"/>
      <c r="AM328" s="44"/>
    </row>
    <row r="329" spans="1:48" ht="27" hidden="1" customHeight="1" x14ac:dyDescent="0.25">
      <c r="A329" s="152"/>
      <c r="B329" s="145"/>
      <c r="C329" s="151" t="s">
        <v>179</v>
      </c>
      <c r="D329" s="168"/>
      <c r="E329" s="166"/>
      <c r="F329" s="165"/>
      <c r="G329" s="142" t="s">
        <v>246</v>
      </c>
      <c r="H329" s="166"/>
      <c r="I329" s="33">
        <v>0</v>
      </c>
      <c r="J329" s="33">
        <v>170.3</v>
      </c>
      <c r="K329" s="33">
        <v>0</v>
      </c>
      <c r="L329" s="33">
        <v>0</v>
      </c>
      <c r="M329" s="33">
        <v>0</v>
      </c>
      <c r="N329" s="33">
        <v>0</v>
      </c>
      <c r="O329" s="33">
        <v>0</v>
      </c>
      <c r="P329" s="33"/>
      <c r="Q329" s="33"/>
      <c r="R329" s="33"/>
      <c r="S329" s="33">
        <f t="shared" si="158"/>
        <v>170.3</v>
      </c>
      <c r="AG329" s="33"/>
      <c r="AH329" s="33"/>
      <c r="AI329" s="33"/>
      <c r="AJ329" s="33"/>
      <c r="AM329" s="44"/>
    </row>
    <row r="330" spans="1:48" ht="27" hidden="1" customHeight="1" x14ac:dyDescent="0.25">
      <c r="A330" s="152"/>
      <c r="B330" s="145"/>
      <c r="C330" s="151" t="s">
        <v>37</v>
      </c>
      <c r="D330" s="168"/>
      <c r="E330" s="166"/>
      <c r="F330" s="165"/>
      <c r="G330" s="142" t="s">
        <v>246</v>
      </c>
      <c r="H330" s="166"/>
      <c r="I330" s="33">
        <v>0</v>
      </c>
      <c r="J330" s="33">
        <v>222.58</v>
      </c>
      <c r="K330" s="33">
        <v>0</v>
      </c>
      <c r="L330" s="33">
        <v>0</v>
      </c>
      <c r="M330" s="33">
        <v>0</v>
      </c>
      <c r="N330" s="33">
        <v>0</v>
      </c>
      <c r="O330" s="33">
        <v>0</v>
      </c>
      <c r="P330" s="33"/>
      <c r="Q330" s="33"/>
      <c r="R330" s="33"/>
      <c r="S330" s="33">
        <f t="shared" si="158"/>
        <v>222.58</v>
      </c>
      <c r="AG330" s="33"/>
      <c r="AH330" s="33"/>
      <c r="AI330" s="33"/>
      <c r="AJ330" s="33"/>
      <c r="AM330" s="44"/>
    </row>
    <row r="331" spans="1:48" ht="36" hidden="1" customHeight="1" x14ac:dyDescent="0.25">
      <c r="A331" s="152"/>
      <c r="B331" s="145"/>
      <c r="C331" s="151" t="s">
        <v>186</v>
      </c>
      <c r="D331" s="168"/>
      <c r="E331" s="166"/>
      <c r="F331" s="165"/>
      <c r="G331" s="142" t="s">
        <v>246</v>
      </c>
      <c r="H331" s="166">
        <v>811</v>
      </c>
      <c r="I331" s="33">
        <f t="shared" ref="I331:N331" si="159">I332+I333+I334</f>
        <v>0</v>
      </c>
      <c r="J331" s="33">
        <f t="shared" si="159"/>
        <v>24587.11</v>
      </c>
      <c r="K331" s="33">
        <f t="shared" si="159"/>
        <v>17266.13751</v>
      </c>
      <c r="L331" s="33">
        <f t="shared" si="159"/>
        <v>18226.990000000002</v>
      </c>
      <c r="M331" s="33">
        <f t="shared" si="159"/>
        <v>16729.826000000001</v>
      </c>
      <c r="N331" s="33">
        <f t="shared" si="159"/>
        <v>16729.826000000001</v>
      </c>
      <c r="O331" s="33">
        <f>O332+O333+O334</f>
        <v>16729.826000000001</v>
      </c>
      <c r="P331" s="33"/>
      <c r="Q331" s="33"/>
      <c r="R331" s="33"/>
      <c r="S331" s="33">
        <f t="shared" si="158"/>
        <v>110269.71551000001</v>
      </c>
      <c r="AG331" s="33"/>
      <c r="AH331" s="33"/>
      <c r="AI331" s="33"/>
      <c r="AJ331" s="33"/>
      <c r="AM331" s="44"/>
    </row>
    <row r="332" spans="1:48" ht="27" hidden="1" customHeight="1" x14ac:dyDescent="0.3">
      <c r="A332" s="152"/>
      <c r="B332" s="145"/>
      <c r="C332" s="151" t="s">
        <v>178</v>
      </c>
      <c r="D332" s="168"/>
      <c r="E332" s="166"/>
      <c r="F332" s="165"/>
      <c r="G332" s="142" t="s">
        <v>246</v>
      </c>
      <c r="H332" s="166"/>
      <c r="I332" s="33">
        <v>0</v>
      </c>
      <c r="J332" s="33">
        <v>21925.01</v>
      </c>
      <c r="K332" s="33">
        <f>15519.53+145.16684</f>
        <v>15664.696840000001</v>
      </c>
      <c r="L332" s="75">
        <v>16536.43</v>
      </c>
      <c r="M332" s="75">
        <v>15080.94</v>
      </c>
      <c r="N332" s="75">
        <v>15080.94</v>
      </c>
      <c r="O332" s="75">
        <v>15080.94</v>
      </c>
      <c r="P332" s="75"/>
      <c r="Q332" s="75"/>
      <c r="R332" s="75"/>
      <c r="S332" s="33">
        <f t="shared" si="158"/>
        <v>99368.956839999999</v>
      </c>
      <c r="AG332" s="33">
        <v>15519.53</v>
      </c>
      <c r="AH332" s="75">
        <v>16536.43</v>
      </c>
      <c r="AI332" s="75">
        <v>17240.84</v>
      </c>
      <c r="AJ332" s="33"/>
      <c r="AM332" s="44"/>
    </row>
    <row r="333" spans="1:48" ht="27" hidden="1" customHeight="1" x14ac:dyDescent="0.3">
      <c r="A333" s="152"/>
      <c r="B333" s="145"/>
      <c r="C333" s="151" t="s">
        <v>179</v>
      </c>
      <c r="D333" s="168"/>
      <c r="E333" s="166"/>
      <c r="F333" s="165"/>
      <c r="G333" s="142" t="s">
        <v>246</v>
      </c>
      <c r="H333" s="166"/>
      <c r="I333" s="33">
        <v>0</v>
      </c>
      <c r="J333" s="33">
        <v>1153.95</v>
      </c>
      <c r="K333" s="33">
        <f>816.82+7.64033</f>
        <v>824.46033</v>
      </c>
      <c r="L333" s="75">
        <v>870.34</v>
      </c>
      <c r="M333" s="76">
        <v>793.73299999999995</v>
      </c>
      <c r="N333" s="77">
        <v>793.73299999999995</v>
      </c>
      <c r="O333" s="77">
        <v>793.73299999999995</v>
      </c>
      <c r="P333" s="77"/>
      <c r="Q333" s="77"/>
      <c r="R333" s="77"/>
      <c r="S333" s="33">
        <f t="shared" si="158"/>
        <v>5229.9493300000004</v>
      </c>
      <c r="AG333" s="33">
        <v>816.82</v>
      </c>
      <c r="AH333" s="75">
        <v>870.34</v>
      </c>
      <c r="AI333" s="75">
        <v>907.41</v>
      </c>
      <c r="AJ333" s="33"/>
      <c r="AM333" s="44"/>
    </row>
    <row r="334" spans="1:48" ht="27" hidden="1" customHeight="1" x14ac:dyDescent="0.3">
      <c r="A334" s="152"/>
      <c r="B334" s="145"/>
      <c r="C334" s="151" t="s">
        <v>37</v>
      </c>
      <c r="D334" s="168"/>
      <c r="E334" s="166"/>
      <c r="F334" s="165"/>
      <c r="G334" s="142" t="s">
        <v>246</v>
      </c>
      <c r="H334" s="166"/>
      <c r="I334" s="33">
        <v>0</v>
      </c>
      <c r="J334" s="33">
        <v>1508.15</v>
      </c>
      <c r="K334" s="33">
        <f>769.78+7.20034</f>
        <v>776.98033999999996</v>
      </c>
      <c r="L334" s="75">
        <v>820.22</v>
      </c>
      <c r="M334" s="75">
        <v>855.15300000000002</v>
      </c>
      <c r="N334" s="75">
        <v>855.15300000000002</v>
      </c>
      <c r="O334" s="75">
        <v>855.15300000000002</v>
      </c>
      <c r="P334" s="75"/>
      <c r="Q334" s="75"/>
      <c r="R334" s="75"/>
      <c r="S334" s="33">
        <f t="shared" si="158"/>
        <v>5670.8093400000007</v>
      </c>
      <c r="AG334" s="37">
        <v>769.78</v>
      </c>
      <c r="AH334" s="75">
        <v>820.22</v>
      </c>
      <c r="AI334" s="75">
        <v>855.15</v>
      </c>
      <c r="AJ334" s="33"/>
      <c r="AM334" s="44"/>
    </row>
    <row r="335" spans="1:48" x14ac:dyDescent="0.25">
      <c r="A335" s="190"/>
      <c r="B335" s="177"/>
      <c r="C335" s="151" t="s">
        <v>186</v>
      </c>
      <c r="D335" s="168" t="s">
        <v>28</v>
      </c>
      <c r="E335" s="166">
        <v>934</v>
      </c>
      <c r="F335" s="165" t="s">
        <v>60</v>
      </c>
      <c r="G335" s="142" t="s">
        <v>246</v>
      </c>
      <c r="H335" s="180" t="s">
        <v>262</v>
      </c>
      <c r="I335" s="33">
        <f t="shared" ref="I335:N335" si="160">I336+I337+I338</f>
        <v>0</v>
      </c>
      <c r="J335" s="33">
        <f t="shared" si="160"/>
        <v>20544.89</v>
      </c>
      <c r="K335" s="33">
        <f t="shared" si="160"/>
        <v>30987.850119999999</v>
      </c>
      <c r="L335" s="33">
        <f t="shared" si="160"/>
        <v>25079.02</v>
      </c>
      <c r="M335" s="33">
        <f t="shared" si="160"/>
        <v>23151.350000000002</v>
      </c>
      <c r="N335" s="33">
        <f t="shared" si="160"/>
        <v>29446.65</v>
      </c>
      <c r="O335" s="33">
        <f>O336+O337+O338</f>
        <v>31767.78</v>
      </c>
      <c r="P335" s="33">
        <f>P336+P337+P338</f>
        <v>0</v>
      </c>
      <c r="Q335" s="33">
        <f>Q336+Q337+Q338</f>
        <v>0</v>
      </c>
      <c r="R335" s="33">
        <f>R336+R337+R338</f>
        <v>0</v>
      </c>
      <c r="S335" s="33">
        <f t="shared" si="158"/>
        <v>160977.54012000002</v>
      </c>
      <c r="AG335" s="33"/>
      <c r="AH335" s="33"/>
      <c r="AI335" s="33"/>
      <c r="AJ335" s="33"/>
      <c r="AM335" s="44"/>
    </row>
    <row r="336" spans="1:48" ht="56.25" x14ac:dyDescent="0.25">
      <c r="A336" s="190"/>
      <c r="B336" s="177"/>
      <c r="C336" s="151" t="s">
        <v>178</v>
      </c>
      <c r="D336" s="168"/>
      <c r="E336" s="166"/>
      <c r="F336" s="165"/>
      <c r="G336" s="142" t="s">
        <v>246</v>
      </c>
      <c r="H336" s="180"/>
      <c r="I336" s="33">
        <f t="shared" ref="I336:K338" si="161">I340+I344</f>
        <v>0</v>
      </c>
      <c r="J336" s="33">
        <v>18320.45</v>
      </c>
      <c r="K336" s="33">
        <f t="shared" si="161"/>
        <v>28113.729759999998</v>
      </c>
      <c r="L336" s="33">
        <v>22670.48</v>
      </c>
      <c r="M336" s="33">
        <v>20842.41</v>
      </c>
      <c r="N336" s="33">
        <v>26588.69</v>
      </c>
      <c r="O336" s="33">
        <v>23848.35</v>
      </c>
      <c r="P336" s="33">
        <v>0</v>
      </c>
      <c r="Q336" s="33">
        <v>0</v>
      </c>
      <c r="R336" s="33">
        <v>0</v>
      </c>
      <c r="S336" s="33">
        <f t="shared" si="158"/>
        <v>140384.10975999999</v>
      </c>
      <c r="AG336" s="33"/>
      <c r="AH336" s="33"/>
      <c r="AI336" s="33"/>
      <c r="AJ336" s="33"/>
      <c r="AM336" s="44"/>
    </row>
    <row r="337" spans="1:48" ht="37.5" x14ac:dyDescent="0.25">
      <c r="A337" s="190"/>
      <c r="B337" s="177"/>
      <c r="C337" s="151" t="s">
        <v>179</v>
      </c>
      <c r="D337" s="168"/>
      <c r="E337" s="166"/>
      <c r="F337" s="165"/>
      <c r="G337" s="142" t="s">
        <v>246</v>
      </c>
      <c r="H337" s="180"/>
      <c r="I337" s="33">
        <f t="shared" si="161"/>
        <v>0</v>
      </c>
      <c r="J337" s="33">
        <f>964.2+0.03</f>
        <v>964.23</v>
      </c>
      <c r="K337" s="33">
        <f t="shared" si="161"/>
        <v>1479.6702499999999</v>
      </c>
      <c r="L337" s="33">
        <v>1193.18</v>
      </c>
      <c r="M337" s="33">
        <v>1096.97</v>
      </c>
      <c r="N337" s="33">
        <v>1399.4</v>
      </c>
      <c r="O337" s="33">
        <f>1255.18-0.01</f>
        <v>1255.17</v>
      </c>
      <c r="P337" s="33">
        <v>0</v>
      </c>
      <c r="Q337" s="33">
        <v>0</v>
      </c>
      <c r="R337" s="33">
        <v>0</v>
      </c>
      <c r="S337" s="33">
        <f t="shared" si="158"/>
        <v>7388.6202499999999</v>
      </c>
      <c r="AG337" s="33"/>
      <c r="AH337" s="33"/>
      <c r="AI337" s="33"/>
      <c r="AJ337" s="33"/>
      <c r="AM337" s="44"/>
    </row>
    <row r="338" spans="1:48" ht="37.5" x14ac:dyDescent="0.25">
      <c r="A338" s="190"/>
      <c r="B338" s="177"/>
      <c r="C338" s="151" t="s">
        <v>37</v>
      </c>
      <c r="D338" s="168"/>
      <c r="E338" s="166"/>
      <c r="F338" s="165"/>
      <c r="G338" s="142" t="s">
        <v>246</v>
      </c>
      <c r="H338" s="180"/>
      <c r="I338" s="33">
        <f t="shared" si="161"/>
        <v>0</v>
      </c>
      <c r="J338" s="33">
        <f>1260.24-0.03</f>
        <v>1260.21</v>
      </c>
      <c r="K338" s="33">
        <f t="shared" si="161"/>
        <v>1394.45011</v>
      </c>
      <c r="L338" s="33">
        <v>1215.3599999999999</v>
      </c>
      <c r="M338" s="33">
        <v>1211.97</v>
      </c>
      <c r="N338" s="33">
        <v>1458.56</v>
      </c>
      <c r="O338" s="33">
        <v>6664.26</v>
      </c>
      <c r="P338" s="33">
        <v>0</v>
      </c>
      <c r="Q338" s="33">
        <v>0</v>
      </c>
      <c r="R338" s="33">
        <v>0</v>
      </c>
      <c r="S338" s="33">
        <f t="shared" si="158"/>
        <v>13204.81011</v>
      </c>
      <c r="AG338" s="33"/>
      <c r="AH338" s="33"/>
      <c r="AI338" s="33"/>
      <c r="AJ338" s="33"/>
      <c r="AM338" s="44"/>
    </row>
    <row r="339" spans="1:48" ht="38.25" hidden="1" customHeight="1" x14ac:dyDescent="0.25">
      <c r="A339" s="152"/>
      <c r="B339" s="145"/>
      <c r="C339" s="151" t="s">
        <v>186</v>
      </c>
      <c r="D339" s="168"/>
      <c r="E339" s="166"/>
      <c r="F339" s="165"/>
      <c r="G339" s="142" t="s">
        <v>246</v>
      </c>
      <c r="H339" s="166">
        <v>631</v>
      </c>
      <c r="I339" s="33">
        <f t="shared" ref="I339:N339" si="162">I340+I341+I342</f>
        <v>0</v>
      </c>
      <c r="J339" s="33">
        <f t="shared" si="162"/>
        <v>6202.25</v>
      </c>
      <c r="K339" s="33">
        <f t="shared" si="162"/>
        <v>2336.90967</v>
      </c>
      <c r="L339" s="33">
        <f t="shared" si="162"/>
        <v>0</v>
      </c>
      <c r="M339" s="33">
        <f t="shared" si="162"/>
        <v>0</v>
      </c>
      <c r="N339" s="33">
        <f t="shared" si="162"/>
        <v>0</v>
      </c>
      <c r="O339" s="33">
        <f>O340+O341+O342</f>
        <v>0</v>
      </c>
      <c r="P339" s="33"/>
      <c r="Q339" s="33"/>
      <c r="R339" s="33"/>
      <c r="S339" s="33">
        <f t="shared" si="158"/>
        <v>8539.1596700000009</v>
      </c>
      <c r="AG339" s="33"/>
      <c r="AH339" s="33"/>
      <c r="AI339" s="33"/>
      <c r="AJ339" s="33"/>
      <c r="AM339" s="44"/>
      <c r="AV339" s="54"/>
    </row>
    <row r="340" spans="1:48" ht="22.5" hidden="1" customHeight="1" x14ac:dyDescent="0.25">
      <c r="A340" s="152"/>
      <c r="B340" s="145"/>
      <c r="C340" s="151" t="s">
        <v>178</v>
      </c>
      <c r="D340" s="168"/>
      <c r="E340" s="166"/>
      <c r="F340" s="165"/>
      <c r="G340" s="142" t="s">
        <v>246</v>
      </c>
      <c r="H340" s="166"/>
      <c r="I340" s="33">
        <v>0</v>
      </c>
      <c r="J340" s="33">
        <v>5530.72</v>
      </c>
      <c r="K340" s="33">
        <f>2231.74787+0.002-111.58739</f>
        <v>2120.16248</v>
      </c>
      <c r="L340" s="33">
        <v>0</v>
      </c>
      <c r="M340" s="33">
        <v>0</v>
      </c>
      <c r="N340" s="33">
        <v>0</v>
      </c>
      <c r="O340" s="33">
        <v>0</v>
      </c>
      <c r="P340" s="33"/>
      <c r="Q340" s="33"/>
      <c r="R340" s="33"/>
      <c r="S340" s="33">
        <f t="shared" si="158"/>
        <v>7650.8824800000002</v>
      </c>
      <c r="AG340" s="33">
        <f>2231.74787+0.002</f>
        <v>2231.7498700000001</v>
      </c>
      <c r="AH340" s="33"/>
      <c r="AI340" s="33"/>
      <c r="AJ340" s="33"/>
      <c r="AM340" s="44"/>
      <c r="AV340" s="54"/>
    </row>
    <row r="341" spans="1:48" ht="22.5" hidden="1" customHeight="1" x14ac:dyDescent="0.25">
      <c r="A341" s="152"/>
      <c r="B341" s="145"/>
      <c r="C341" s="151" t="s">
        <v>179</v>
      </c>
      <c r="D341" s="168"/>
      <c r="E341" s="166"/>
      <c r="F341" s="165"/>
      <c r="G341" s="142" t="s">
        <v>246</v>
      </c>
      <c r="H341" s="166"/>
      <c r="I341" s="33">
        <v>0</v>
      </c>
      <c r="J341" s="33">
        <v>291.08999999999997</v>
      </c>
      <c r="K341" s="33">
        <f>117.46-5.87302</f>
        <v>111.58698</v>
      </c>
      <c r="L341" s="33">
        <v>0</v>
      </c>
      <c r="M341" s="33">
        <v>0</v>
      </c>
      <c r="N341" s="33">
        <v>0</v>
      </c>
      <c r="O341" s="33">
        <v>0</v>
      </c>
      <c r="P341" s="33"/>
      <c r="Q341" s="33"/>
      <c r="R341" s="33"/>
      <c r="S341" s="33">
        <f t="shared" si="158"/>
        <v>402.67697999999996</v>
      </c>
      <c r="AG341" s="33">
        <f>117.46</f>
        <v>117.46</v>
      </c>
      <c r="AH341" s="33"/>
      <c r="AI341" s="33"/>
      <c r="AJ341" s="33"/>
      <c r="AM341" s="44"/>
      <c r="AV341" s="54"/>
    </row>
    <row r="342" spans="1:48" ht="22.5" hidden="1" customHeight="1" x14ac:dyDescent="0.25">
      <c r="A342" s="152"/>
      <c r="B342" s="145"/>
      <c r="C342" s="151" t="s">
        <v>37</v>
      </c>
      <c r="D342" s="168"/>
      <c r="E342" s="166"/>
      <c r="F342" s="165"/>
      <c r="G342" s="142" t="s">
        <v>246</v>
      </c>
      <c r="H342" s="166"/>
      <c r="I342" s="33">
        <v>0</v>
      </c>
      <c r="J342" s="33">
        <v>380.44</v>
      </c>
      <c r="K342" s="33">
        <f>110.7-5.53479-0.005</f>
        <v>105.16021000000001</v>
      </c>
      <c r="L342" s="33">
        <v>0</v>
      </c>
      <c r="M342" s="33">
        <v>0</v>
      </c>
      <c r="N342" s="33">
        <v>0</v>
      </c>
      <c r="O342" s="33">
        <v>0</v>
      </c>
      <c r="P342" s="33"/>
      <c r="Q342" s="33"/>
      <c r="R342" s="33"/>
      <c r="S342" s="33">
        <f t="shared" si="158"/>
        <v>485.60021</v>
      </c>
      <c r="AG342" s="33">
        <v>110.7</v>
      </c>
      <c r="AH342" s="33"/>
      <c r="AI342" s="33"/>
      <c r="AJ342" s="33"/>
      <c r="AM342" s="44"/>
      <c r="AV342" s="54"/>
    </row>
    <row r="343" spans="1:48" ht="40.5" hidden="1" customHeight="1" x14ac:dyDescent="0.25">
      <c r="A343" s="152"/>
      <c r="B343" s="145"/>
      <c r="C343" s="151" t="s">
        <v>186</v>
      </c>
      <c r="D343" s="168"/>
      <c r="E343" s="166"/>
      <c r="F343" s="165"/>
      <c r="G343" s="142" t="s">
        <v>246</v>
      </c>
      <c r="H343" s="166">
        <v>811</v>
      </c>
      <c r="I343" s="33">
        <f t="shared" ref="I343:N343" si="163">I344+I345+I346</f>
        <v>0</v>
      </c>
      <c r="J343" s="33">
        <f t="shared" si="163"/>
        <v>14342.64</v>
      </c>
      <c r="K343" s="33">
        <f t="shared" si="163"/>
        <v>28650.940449999998</v>
      </c>
      <c r="L343" s="33">
        <f t="shared" si="163"/>
        <v>18227</v>
      </c>
      <c r="M343" s="33">
        <f t="shared" si="163"/>
        <v>16729.833000000002</v>
      </c>
      <c r="N343" s="33">
        <f t="shared" si="163"/>
        <v>16729.833000000002</v>
      </c>
      <c r="O343" s="33">
        <f>O344+O345+O346</f>
        <v>0</v>
      </c>
      <c r="P343" s="33"/>
      <c r="Q343" s="33"/>
      <c r="R343" s="33"/>
      <c r="S343" s="33">
        <f t="shared" si="158"/>
        <v>94680.246449999991</v>
      </c>
      <c r="AG343" s="33"/>
      <c r="AH343" s="33"/>
      <c r="AI343" s="33"/>
      <c r="AJ343" s="33"/>
      <c r="AM343" s="44"/>
      <c r="AV343" s="44">
        <f>I343+I339</f>
        <v>0</v>
      </c>
    </row>
    <row r="344" spans="1:48" ht="22.5" hidden="1" customHeight="1" x14ac:dyDescent="0.3">
      <c r="A344" s="152"/>
      <c r="B344" s="145"/>
      <c r="C344" s="151" t="s">
        <v>178</v>
      </c>
      <c r="D344" s="168"/>
      <c r="E344" s="166"/>
      <c r="F344" s="165"/>
      <c r="G344" s="142" t="s">
        <v>246</v>
      </c>
      <c r="H344" s="166"/>
      <c r="I344" s="33">
        <v>0</v>
      </c>
      <c r="J344" s="33">
        <v>12789.72</v>
      </c>
      <c r="K344" s="33">
        <f>26668.765-675.19772</f>
        <v>25993.567279999999</v>
      </c>
      <c r="L344" s="75">
        <f>16536.44</f>
        <v>16536.439999999999</v>
      </c>
      <c r="M344" s="75">
        <v>15080.94</v>
      </c>
      <c r="N344" s="75">
        <v>15080.94</v>
      </c>
      <c r="O344" s="75">
        <v>0</v>
      </c>
      <c r="P344" s="75"/>
      <c r="Q344" s="75"/>
      <c r="R344" s="75"/>
      <c r="S344" s="33">
        <f t="shared" si="158"/>
        <v>85481.607279999997</v>
      </c>
      <c r="AG344" s="33">
        <v>26668.76</v>
      </c>
      <c r="AH344" s="75">
        <f>16536.44</f>
        <v>16536.439999999999</v>
      </c>
      <c r="AI344" s="75">
        <f>17240.84</f>
        <v>17240.84</v>
      </c>
      <c r="AJ344" s="33"/>
      <c r="AM344" s="44"/>
      <c r="AV344" s="44"/>
    </row>
    <row r="345" spans="1:48" ht="22.5" hidden="1" customHeight="1" x14ac:dyDescent="0.3">
      <c r="A345" s="152"/>
      <c r="B345" s="145"/>
      <c r="C345" s="151" t="s">
        <v>179</v>
      </c>
      <c r="D345" s="168"/>
      <c r="E345" s="166"/>
      <c r="F345" s="165"/>
      <c r="G345" s="142" t="s">
        <v>246</v>
      </c>
      <c r="H345" s="166"/>
      <c r="I345" s="33">
        <v>0</v>
      </c>
      <c r="J345" s="33">
        <v>673.15</v>
      </c>
      <c r="K345" s="33">
        <f>1403.62-35.53673</f>
        <v>1368.0832699999999</v>
      </c>
      <c r="L345" s="75">
        <f>870.34</f>
        <v>870.34</v>
      </c>
      <c r="M345" s="76">
        <v>793.73299999999995</v>
      </c>
      <c r="N345" s="77">
        <v>793.73299999999995</v>
      </c>
      <c r="O345" s="77">
        <v>0</v>
      </c>
      <c r="P345" s="77"/>
      <c r="Q345" s="77"/>
      <c r="R345" s="77"/>
      <c r="S345" s="33">
        <f t="shared" si="158"/>
        <v>4499.0392700000002</v>
      </c>
      <c r="AG345" s="33">
        <v>1403.62</v>
      </c>
      <c r="AH345" s="75">
        <f>870.34</f>
        <v>870.34</v>
      </c>
      <c r="AI345" s="75">
        <f>907.42</f>
        <v>907.42</v>
      </c>
      <c r="AJ345" s="33"/>
      <c r="AM345" s="44"/>
      <c r="AV345" s="44">
        <f>I345+I341</f>
        <v>0</v>
      </c>
    </row>
    <row r="346" spans="1:48" ht="22.5" hidden="1" customHeight="1" x14ac:dyDescent="0.3">
      <c r="A346" s="152"/>
      <c r="B346" s="145"/>
      <c r="C346" s="151" t="s">
        <v>37</v>
      </c>
      <c r="D346" s="168"/>
      <c r="E346" s="166"/>
      <c r="F346" s="165"/>
      <c r="G346" s="142" t="s">
        <v>246</v>
      </c>
      <c r="H346" s="166"/>
      <c r="I346" s="33">
        <v>0</v>
      </c>
      <c r="J346" s="33">
        <v>879.77</v>
      </c>
      <c r="K346" s="33">
        <f>1322.78-33.4901</f>
        <v>1289.2899</v>
      </c>
      <c r="L346" s="75">
        <f>820.22</f>
        <v>820.22</v>
      </c>
      <c r="M346" s="75">
        <f>855.16</f>
        <v>855.16</v>
      </c>
      <c r="N346" s="75">
        <f>855.16</f>
        <v>855.16</v>
      </c>
      <c r="O346" s="75">
        <v>0</v>
      </c>
      <c r="P346" s="75"/>
      <c r="Q346" s="75"/>
      <c r="R346" s="75"/>
      <c r="S346" s="33">
        <f t="shared" si="158"/>
        <v>4699.5999000000002</v>
      </c>
      <c r="AG346" s="33">
        <f>1322.78</f>
        <v>1322.78</v>
      </c>
      <c r="AH346" s="75">
        <f>820.22</f>
        <v>820.22</v>
      </c>
      <c r="AI346" s="75">
        <f>855.16</f>
        <v>855.16</v>
      </c>
      <c r="AJ346" s="33"/>
      <c r="AM346" s="44"/>
      <c r="AV346" s="44">
        <f>I346+I342</f>
        <v>0</v>
      </c>
    </row>
    <row r="347" spans="1:48" x14ac:dyDescent="0.25">
      <c r="A347" s="190"/>
      <c r="B347" s="177"/>
      <c r="C347" s="151" t="s">
        <v>186</v>
      </c>
      <c r="D347" s="168" t="s">
        <v>29</v>
      </c>
      <c r="E347" s="166">
        <v>937</v>
      </c>
      <c r="F347" s="165" t="s">
        <v>60</v>
      </c>
      <c r="G347" s="142" t="s">
        <v>246</v>
      </c>
      <c r="H347" s="180" t="s">
        <v>262</v>
      </c>
      <c r="I347" s="33">
        <f t="shared" ref="I347:N347" si="164">I348+I349+I350</f>
        <v>0</v>
      </c>
      <c r="J347" s="33">
        <f t="shared" si="164"/>
        <v>15704.679999999998</v>
      </c>
      <c r="K347" s="33">
        <f t="shared" si="164"/>
        <v>7822.4500000000007</v>
      </c>
      <c r="L347" s="33">
        <f t="shared" si="164"/>
        <v>1266.3399999999999</v>
      </c>
      <c r="M347" s="33">
        <f t="shared" si="164"/>
        <v>5660.68</v>
      </c>
      <c r="N347" s="33">
        <f t="shared" si="164"/>
        <v>10829.9</v>
      </c>
      <c r="O347" s="33">
        <f>O348+O349+O350</f>
        <v>5746.34</v>
      </c>
      <c r="P347" s="33">
        <f>P348+P349+P350</f>
        <v>0</v>
      </c>
      <c r="Q347" s="33">
        <f>Q348+Q349+Q350</f>
        <v>0</v>
      </c>
      <c r="R347" s="33">
        <f>R348+R349+R350</f>
        <v>0</v>
      </c>
      <c r="S347" s="33">
        <f t="shared" si="158"/>
        <v>47030.39</v>
      </c>
      <c r="AG347" s="33">
        <f>9280.29121+1003.73</f>
        <v>10284.021209999999</v>
      </c>
      <c r="AH347" s="33">
        <v>802.98</v>
      </c>
      <c r="AI347" s="33">
        <v>1204.48</v>
      </c>
      <c r="AJ347" s="33">
        <f>SUM(AG347:AI347)</f>
        <v>12291.481209999998</v>
      </c>
      <c r="AM347" s="44">
        <f>I347-AG347</f>
        <v>-10284.021209999999</v>
      </c>
      <c r="AO347" s="35">
        <f>0.68+0.45+0.34+0.68+0.9+0.34+0.42+0.42</f>
        <v>4.2300000000000004</v>
      </c>
    </row>
    <row r="348" spans="1:48" ht="56.25" x14ac:dyDescent="0.25">
      <c r="A348" s="190"/>
      <c r="B348" s="177"/>
      <c r="C348" s="151" t="s">
        <v>178</v>
      </c>
      <c r="D348" s="168"/>
      <c r="E348" s="166"/>
      <c r="F348" s="165"/>
      <c r="G348" s="142" t="s">
        <v>246</v>
      </c>
      <c r="H348" s="180"/>
      <c r="I348" s="33">
        <v>0</v>
      </c>
      <c r="J348" s="33">
        <f>14004.32-0.02</f>
        <v>14004.3</v>
      </c>
      <c r="K348" s="33">
        <v>7096.92</v>
      </c>
      <c r="L348" s="33">
        <v>1144.72</v>
      </c>
      <c r="M348" s="33">
        <v>5096.12</v>
      </c>
      <c r="N348" s="33">
        <v>9778.7999999999993</v>
      </c>
      <c r="O348" s="33">
        <v>4313.83</v>
      </c>
      <c r="P348" s="33">
        <v>0</v>
      </c>
      <c r="Q348" s="33">
        <v>0</v>
      </c>
      <c r="R348" s="33">
        <v>0</v>
      </c>
      <c r="S348" s="33">
        <f t="shared" si="158"/>
        <v>41434.69</v>
      </c>
      <c r="AG348" s="33"/>
      <c r="AH348" s="33"/>
      <c r="AI348" s="33"/>
      <c r="AJ348" s="33"/>
      <c r="AM348" s="44"/>
      <c r="AO348" s="35">
        <f>0.3+0.92+0.72+0.12+0.8+0.83</f>
        <v>3.6900000000000004</v>
      </c>
    </row>
    <row r="349" spans="1:48" ht="37.5" x14ac:dyDescent="0.25">
      <c r="A349" s="190"/>
      <c r="B349" s="177"/>
      <c r="C349" s="151" t="s">
        <v>179</v>
      </c>
      <c r="D349" s="168"/>
      <c r="E349" s="166"/>
      <c r="F349" s="165"/>
      <c r="G349" s="142" t="s">
        <v>246</v>
      </c>
      <c r="H349" s="180"/>
      <c r="I349" s="33">
        <v>0</v>
      </c>
      <c r="J349" s="33">
        <v>737.07</v>
      </c>
      <c r="K349" s="33">
        <v>373.52</v>
      </c>
      <c r="L349" s="33">
        <v>60.25</v>
      </c>
      <c r="M349" s="33">
        <v>268.22000000000003</v>
      </c>
      <c r="N349" s="33">
        <v>514.66999999999996</v>
      </c>
      <c r="O349" s="33">
        <v>227.04</v>
      </c>
      <c r="P349" s="33">
        <v>0</v>
      </c>
      <c r="Q349" s="33">
        <v>0</v>
      </c>
      <c r="R349" s="33">
        <v>0</v>
      </c>
      <c r="S349" s="33">
        <f t="shared" si="158"/>
        <v>2180.77</v>
      </c>
      <c r="AG349" s="33"/>
      <c r="AH349" s="33"/>
      <c r="AI349" s="33"/>
      <c r="AJ349" s="33"/>
      <c r="AM349" s="44"/>
      <c r="AO349" s="35">
        <f>0.07+0.52+0.25+0.22+0.67+0.04+0.26+0.26</f>
        <v>2.29</v>
      </c>
    </row>
    <row r="350" spans="1:48" ht="37.5" x14ac:dyDescent="0.25">
      <c r="A350" s="190"/>
      <c r="B350" s="177"/>
      <c r="C350" s="151" t="s">
        <v>37</v>
      </c>
      <c r="D350" s="168"/>
      <c r="E350" s="166"/>
      <c r="F350" s="165"/>
      <c r="G350" s="142" t="s">
        <v>246</v>
      </c>
      <c r="H350" s="180"/>
      <c r="I350" s="33">
        <v>0</v>
      </c>
      <c r="J350" s="33">
        <v>963.31</v>
      </c>
      <c r="K350" s="33">
        <v>352.01</v>
      </c>
      <c r="L350" s="33">
        <v>61.37</v>
      </c>
      <c r="M350" s="33">
        <v>296.33999999999997</v>
      </c>
      <c r="N350" s="33">
        <v>536.42999999999995</v>
      </c>
      <c r="O350" s="33">
        <v>1205.47</v>
      </c>
      <c r="P350" s="33">
        <v>0</v>
      </c>
      <c r="Q350" s="33">
        <v>0</v>
      </c>
      <c r="R350" s="33">
        <v>0</v>
      </c>
      <c r="S350" s="33">
        <f t="shared" si="158"/>
        <v>3414.9299999999994</v>
      </c>
      <c r="AG350" s="33"/>
      <c r="AH350" s="33"/>
      <c r="AI350" s="33"/>
      <c r="AJ350" s="33"/>
      <c r="AM350" s="44"/>
      <c r="AO350" s="35">
        <f>0.31+0.01+0.37+0.34+0.43+0.47+0.16+0.16</f>
        <v>2.25</v>
      </c>
    </row>
    <row r="351" spans="1:48" ht="24.75" customHeight="1" x14ac:dyDescent="0.25">
      <c r="A351" s="190"/>
      <c r="B351" s="177"/>
      <c r="C351" s="173" t="s">
        <v>178</v>
      </c>
      <c r="D351" s="147" t="s">
        <v>10</v>
      </c>
      <c r="E351" s="142" t="s">
        <v>74</v>
      </c>
      <c r="F351" s="142" t="s">
        <v>74</v>
      </c>
      <c r="G351" s="154" t="s">
        <v>330</v>
      </c>
      <c r="H351" s="142" t="s">
        <v>74</v>
      </c>
      <c r="I351" s="33">
        <f>I458+I462</f>
        <v>0</v>
      </c>
      <c r="J351" s="33">
        <v>0</v>
      </c>
      <c r="K351" s="33">
        <v>0</v>
      </c>
      <c r="L351" s="33">
        <v>0</v>
      </c>
      <c r="M351" s="33">
        <v>0</v>
      </c>
      <c r="N351" s="33">
        <v>0</v>
      </c>
      <c r="O351" s="33">
        <f>O352+O354+O353</f>
        <v>0</v>
      </c>
      <c r="P351" s="33">
        <f>P354+P352</f>
        <v>347008.52</v>
      </c>
      <c r="Q351" s="33">
        <f>Q354+Q352</f>
        <v>319245.57</v>
      </c>
      <c r="R351" s="33">
        <f>R354+R352</f>
        <v>292896.32</v>
      </c>
      <c r="S351" s="33">
        <f t="shared" ref="S351:S391" si="165">SUM(I351:R351)</f>
        <v>959150.41000000015</v>
      </c>
      <c r="AG351" s="52"/>
      <c r="AH351" s="52"/>
      <c r="AI351" s="52"/>
      <c r="AJ351" s="52"/>
      <c r="AM351" s="44"/>
      <c r="AO351" s="35">
        <f>0.17+0.19+0.71+0.54+0.53+0.9</f>
        <v>3.0399999999999996</v>
      </c>
      <c r="AV351" s="44"/>
    </row>
    <row r="352" spans="1:48" ht="56.25" x14ac:dyDescent="0.25">
      <c r="A352" s="190"/>
      <c r="B352" s="177"/>
      <c r="C352" s="173"/>
      <c r="D352" s="140" t="s">
        <v>321</v>
      </c>
      <c r="E352" s="141">
        <v>915</v>
      </c>
      <c r="F352" s="142" t="s">
        <v>60</v>
      </c>
      <c r="G352" s="142" t="s">
        <v>330</v>
      </c>
      <c r="H352" s="142" t="s">
        <v>263</v>
      </c>
      <c r="I352" s="33">
        <v>0</v>
      </c>
      <c r="J352" s="33">
        <v>0</v>
      </c>
      <c r="K352" s="33">
        <v>0</v>
      </c>
      <c r="L352" s="33">
        <v>0</v>
      </c>
      <c r="M352" s="33">
        <v>0</v>
      </c>
      <c r="N352" s="33">
        <v>0</v>
      </c>
      <c r="O352" s="33">
        <f>O422</f>
        <v>0</v>
      </c>
      <c r="P352" s="33">
        <f>P418</f>
        <v>242905.96</v>
      </c>
      <c r="Q352" s="33">
        <f>Q418</f>
        <v>223471.9</v>
      </c>
      <c r="R352" s="33">
        <f>R418</f>
        <v>205027.42</v>
      </c>
      <c r="S352" s="33">
        <f t="shared" si="165"/>
        <v>671405.28</v>
      </c>
      <c r="AG352" s="52"/>
      <c r="AH352" s="52"/>
      <c r="AI352" s="52"/>
      <c r="AJ352" s="52"/>
      <c r="AM352" s="44"/>
      <c r="AV352" s="44"/>
    </row>
    <row r="353" spans="1:80" ht="51" hidden="1" customHeight="1" x14ac:dyDescent="0.25">
      <c r="A353" s="190"/>
      <c r="B353" s="177"/>
      <c r="C353" s="173"/>
      <c r="D353" s="140" t="s">
        <v>261</v>
      </c>
      <c r="E353" s="141">
        <v>911</v>
      </c>
      <c r="F353" s="142" t="s">
        <v>60</v>
      </c>
      <c r="G353" s="142" t="s">
        <v>330</v>
      </c>
      <c r="H353" s="141">
        <v>620</v>
      </c>
      <c r="I353" s="33">
        <v>0</v>
      </c>
      <c r="J353" s="33">
        <v>0</v>
      </c>
      <c r="K353" s="33">
        <v>0</v>
      </c>
      <c r="L353" s="33">
        <v>0</v>
      </c>
      <c r="M353" s="33">
        <v>0</v>
      </c>
      <c r="N353" s="33">
        <v>0</v>
      </c>
      <c r="O353" s="33">
        <f>O426</f>
        <v>0</v>
      </c>
      <c r="P353" s="33">
        <f>P426</f>
        <v>0</v>
      </c>
      <c r="Q353" s="33">
        <f>Q426</f>
        <v>0</v>
      </c>
      <c r="R353" s="33">
        <v>0</v>
      </c>
      <c r="S353" s="33">
        <f t="shared" si="165"/>
        <v>0</v>
      </c>
      <c r="AG353" s="52"/>
      <c r="AH353" s="52"/>
      <c r="AI353" s="52"/>
      <c r="AJ353" s="52"/>
      <c r="AM353" s="44"/>
      <c r="AV353" s="44"/>
    </row>
    <row r="354" spans="1:80" ht="71.25" customHeight="1" x14ac:dyDescent="0.25">
      <c r="A354" s="190"/>
      <c r="B354" s="177"/>
      <c r="C354" s="173"/>
      <c r="D354" s="147" t="s">
        <v>13</v>
      </c>
      <c r="E354" s="142" t="s">
        <v>53</v>
      </c>
      <c r="F354" s="142" t="s">
        <v>60</v>
      </c>
      <c r="G354" s="142" t="s">
        <v>330</v>
      </c>
      <c r="H354" s="142" t="s">
        <v>74</v>
      </c>
      <c r="I354" s="33">
        <v>0</v>
      </c>
      <c r="J354" s="33">
        <f>J356+J357+J360+J361+J364+J367+J370</f>
        <v>0</v>
      </c>
      <c r="K354" s="33">
        <f>K356+K357+K360+K361+K364+K367+K370</f>
        <v>0</v>
      </c>
      <c r="L354" s="33">
        <f>L356+L357+L360+L361+L364+L367+L370</f>
        <v>0</v>
      </c>
      <c r="M354" s="33">
        <f>M356+M357+M360+M361+M364+M367+M370</f>
        <v>0</v>
      </c>
      <c r="N354" s="33">
        <f>N356+N357+N360+N361+N364+N367+N370</f>
        <v>0</v>
      </c>
      <c r="O354" s="33">
        <f>O430</f>
        <v>0</v>
      </c>
      <c r="P354" s="33">
        <f>P430</f>
        <v>104102.56000000001</v>
      </c>
      <c r="Q354" s="33">
        <f>Q430</f>
        <v>95773.67</v>
      </c>
      <c r="R354" s="33">
        <f>R430</f>
        <v>87868.9</v>
      </c>
      <c r="S354" s="33">
        <f t="shared" si="165"/>
        <v>287745.13</v>
      </c>
      <c r="AG354" s="52"/>
      <c r="AH354" s="52"/>
      <c r="AI354" s="52"/>
      <c r="AJ354" s="52"/>
      <c r="AM354" s="44"/>
      <c r="AV354" s="44"/>
    </row>
    <row r="355" spans="1:80" ht="24.75" hidden="1" customHeight="1" x14ac:dyDescent="0.25">
      <c r="A355" s="190"/>
      <c r="B355" s="177"/>
      <c r="C355" s="173"/>
      <c r="D355" s="169" t="s">
        <v>23</v>
      </c>
      <c r="E355" s="166">
        <v>919</v>
      </c>
      <c r="F355" s="165" t="s">
        <v>60</v>
      </c>
      <c r="G355" s="142" t="s">
        <v>330</v>
      </c>
      <c r="H355" s="142" t="s">
        <v>245</v>
      </c>
      <c r="I355" s="33">
        <f>I470</f>
        <v>0</v>
      </c>
      <c r="J355" s="33">
        <f>0</f>
        <v>0</v>
      </c>
      <c r="K355" s="33">
        <f>0</f>
        <v>0</v>
      </c>
      <c r="L355" s="33">
        <f>0</f>
        <v>0</v>
      </c>
      <c r="M355" s="33">
        <f>0</f>
        <v>0</v>
      </c>
      <c r="N355" s="33">
        <f>0</f>
        <v>0</v>
      </c>
      <c r="O355" s="33"/>
      <c r="P355" s="33"/>
      <c r="Q355" s="33"/>
      <c r="R355" s="33"/>
      <c r="S355" s="33">
        <f t="shared" si="165"/>
        <v>0</v>
      </c>
      <c r="AG355" s="52"/>
      <c r="AH355" s="52"/>
      <c r="AI355" s="52"/>
      <c r="AJ355" s="52"/>
      <c r="AM355" s="44"/>
      <c r="AV355" s="44"/>
    </row>
    <row r="356" spans="1:80" ht="51.75" customHeight="1" x14ac:dyDescent="0.25">
      <c r="A356" s="190"/>
      <c r="B356" s="177"/>
      <c r="C356" s="173"/>
      <c r="D356" s="169"/>
      <c r="E356" s="166"/>
      <c r="F356" s="165"/>
      <c r="G356" s="142" t="s">
        <v>330</v>
      </c>
      <c r="H356" s="154" t="s">
        <v>311</v>
      </c>
      <c r="I356" s="33">
        <f>I474</f>
        <v>0</v>
      </c>
      <c r="J356" s="33">
        <v>0</v>
      </c>
      <c r="K356" s="33">
        <v>0</v>
      </c>
      <c r="L356" s="33">
        <v>0</v>
      </c>
      <c r="M356" s="33">
        <v>0</v>
      </c>
      <c r="N356" s="33">
        <v>0</v>
      </c>
      <c r="O356" s="33">
        <f>O442</f>
        <v>0</v>
      </c>
      <c r="P356" s="33">
        <f>P442</f>
        <v>14871.79</v>
      </c>
      <c r="Q356" s="33">
        <f>Q442</f>
        <v>13681.95</v>
      </c>
      <c r="R356" s="33">
        <f>R442</f>
        <v>12552.7</v>
      </c>
      <c r="S356" s="33">
        <f t="shared" si="165"/>
        <v>41106.44</v>
      </c>
      <c r="AG356" s="52"/>
      <c r="AH356" s="52"/>
      <c r="AI356" s="52"/>
      <c r="AJ356" s="52"/>
      <c r="AM356" s="44"/>
      <c r="AV356" s="44"/>
    </row>
    <row r="357" spans="1:80" ht="51.75" customHeight="1" x14ac:dyDescent="0.25">
      <c r="A357" s="190"/>
      <c r="B357" s="177"/>
      <c r="C357" s="173"/>
      <c r="D357" s="169" t="s">
        <v>24</v>
      </c>
      <c r="E357" s="166">
        <v>922</v>
      </c>
      <c r="F357" s="165" t="s">
        <v>60</v>
      </c>
      <c r="G357" s="142" t="s">
        <v>330</v>
      </c>
      <c r="H357" s="154" t="s">
        <v>87</v>
      </c>
      <c r="I357" s="33">
        <f>I358+I359</f>
        <v>0</v>
      </c>
      <c r="J357" s="33">
        <v>0</v>
      </c>
      <c r="K357" s="33">
        <v>0</v>
      </c>
      <c r="L357" s="33">
        <v>0</v>
      </c>
      <c r="M357" s="33">
        <v>0</v>
      </c>
      <c r="N357" s="33">
        <v>0</v>
      </c>
      <c r="O357" s="33">
        <f>O446</f>
        <v>0</v>
      </c>
      <c r="P357" s="33">
        <f>P446</f>
        <v>14871.79</v>
      </c>
      <c r="Q357" s="33">
        <f>Q446</f>
        <v>13681.95</v>
      </c>
      <c r="R357" s="33">
        <f>R446</f>
        <v>12552.7</v>
      </c>
      <c r="S357" s="33">
        <f t="shared" si="165"/>
        <v>41106.44</v>
      </c>
      <c r="AG357" s="52"/>
      <c r="AH357" s="52"/>
      <c r="AI357" s="52"/>
      <c r="AJ357" s="52"/>
      <c r="AM357" s="44"/>
      <c r="AV357" s="44"/>
    </row>
    <row r="358" spans="1:80" ht="24.75" hidden="1" customHeight="1" x14ac:dyDescent="0.25">
      <c r="A358" s="190"/>
      <c r="B358" s="177"/>
      <c r="C358" s="173"/>
      <c r="D358" s="169"/>
      <c r="E358" s="166"/>
      <c r="F358" s="165"/>
      <c r="G358" s="142" t="s">
        <v>330</v>
      </c>
      <c r="H358" s="154" t="s">
        <v>235</v>
      </c>
      <c r="I358" s="33">
        <f>I482</f>
        <v>0</v>
      </c>
      <c r="J358" s="33"/>
      <c r="K358" s="33"/>
      <c r="L358" s="33"/>
      <c r="M358" s="33"/>
      <c r="N358" s="33"/>
      <c r="O358" s="33">
        <f>O450</f>
        <v>0</v>
      </c>
      <c r="P358" s="33">
        <f>P450</f>
        <v>0</v>
      </c>
      <c r="Q358" s="33">
        <f>Q450</f>
        <v>0</v>
      </c>
      <c r="R358" s="33">
        <f>R450</f>
        <v>0</v>
      </c>
      <c r="S358" s="33">
        <f t="shared" si="165"/>
        <v>0</v>
      </c>
      <c r="AG358" s="52"/>
      <c r="AH358" s="52"/>
      <c r="AI358" s="52"/>
      <c r="AJ358" s="52"/>
      <c r="AM358" s="44"/>
      <c r="AV358" s="44"/>
    </row>
    <row r="359" spans="1:80" ht="24.75" hidden="1" customHeight="1" x14ac:dyDescent="0.25">
      <c r="A359" s="190"/>
      <c r="B359" s="177"/>
      <c r="C359" s="173"/>
      <c r="D359" s="169"/>
      <c r="E359" s="166"/>
      <c r="F359" s="165"/>
      <c r="G359" s="142" t="s">
        <v>330</v>
      </c>
      <c r="H359" s="154" t="s">
        <v>234</v>
      </c>
      <c r="I359" s="33">
        <f>I486</f>
        <v>0</v>
      </c>
      <c r="J359" s="33"/>
      <c r="K359" s="33"/>
      <c r="L359" s="33"/>
      <c r="M359" s="33"/>
      <c r="N359" s="33"/>
      <c r="O359" s="33"/>
      <c r="P359" s="33"/>
      <c r="Q359" s="33"/>
      <c r="R359" s="33"/>
      <c r="S359" s="33">
        <f t="shared" si="165"/>
        <v>0</v>
      </c>
      <c r="AG359" s="52"/>
      <c r="AH359" s="52"/>
      <c r="AI359" s="52"/>
      <c r="AJ359" s="52"/>
      <c r="AM359" s="44"/>
      <c r="AV359" s="44"/>
    </row>
    <row r="360" spans="1:80" ht="40.5" customHeight="1" x14ac:dyDescent="0.25">
      <c r="A360" s="190"/>
      <c r="B360" s="177"/>
      <c r="C360" s="173"/>
      <c r="D360" s="147" t="s">
        <v>25</v>
      </c>
      <c r="E360" s="141">
        <v>925</v>
      </c>
      <c r="F360" s="142" t="s">
        <v>60</v>
      </c>
      <c r="G360" s="142" t="s">
        <v>330</v>
      </c>
      <c r="H360" s="154" t="s">
        <v>87</v>
      </c>
      <c r="I360" s="33">
        <f>I490</f>
        <v>0</v>
      </c>
      <c r="J360" s="33">
        <v>0</v>
      </c>
      <c r="K360" s="33">
        <v>0</v>
      </c>
      <c r="L360" s="33">
        <v>0</v>
      </c>
      <c r="M360" s="33">
        <v>0</v>
      </c>
      <c r="N360" s="33">
        <v>0</v>
      </c>
      <c r="O360" s="33">
        <f>O458</f>
        <v>0</v>
      </c>
      <c r="P360" s="33">
        <f>P458</f>
        <v>14871.79</v>
      </c>
      <c r="Q360" s="33">
        <f>Q458</f>
        <v>13681.95</v>
      </c>
      <c r="R360" s="33">
        <f>R458</f>
        <v>12552.7</v>
      </c>
      <c r="S360" s="33">
        <f t="shared" si="165"/>
        <v>41106.44</v>
      </c>
      <c r="AG360" s="52"/>
      <c r="AH360" s="52"/>
      <c r="AI360" s="52"/>
      <c r="AJ360" s="52"/>
      <c r="AM360" s="44"/>
      <c r="AV360" s="44"/>
    </row>
    <row r="361" spans="1:80" ht="57" customHeight="1" x14ac:dyDescent="0.25">
      <c r="A361" s="190"/>
      <c r="B361" s="177"/>
      <c r="C361" s="173"/>
      <c r="D361" s="169" t="s">
        <v>26</v>
      </c>
      <c r="E361" s="166">
        <v>928</v>
      </c>
      <c r="F361" s="165" t="s">
        <v>60</v>
      </c>
      <c r="G361" s="142" t="s">
        <v>330</v>
      </c>
      <c r="H361" s="154" t="s">
        <v>311</v>
      </c>
      <c r="I361" s="33">
        <v>0</v>
      </c>
      <c r="J361" s="33">
        <v>0</v>
      </c>
      <c r="K361" s="33">
        <v>0</v>
      </c>
      <c r="L361" s="33">
        <v>0</v>
      </c>
      <c r="M361" s="33">
        <v>0</v>
      </c>
      <c r="N361" s="33">
        <v>0</v>
      </c>
      <c r="O361" s="33">
        <f>O462</f>
        <v>0</v>
      </c>
      <c r="P361" s="33">
        <f>P462</f>
        <v>14871.79</v>
      </c>
      <c r="Q361" s="33">
        <f>Q462</f>
        <v>13681.95</v>
      </c>
      <c r="R361" s="33">
        <f>R462</f>
        <v>12552.7</v>
      </c>
      <c r="S361" s="33">
        <f t="shared" si="165"/>
        <v>41106.44</v>
      </c>
      <c r="AG361" s="52"/>
      <c r="AH361" s="52"/>
      <c r="AI361" s="52"/>
      <c r="AJ361" s="52"/>
      <c r="AM361" s="44"/>
      <c r="AV361" s="44"/>
    </row>
    <row r="362" spans="1:80" ht="24.75" hidden="1" customHeight="1" x14ac:dyDescent="0.25">
      <c r="A362" s="190"/>
      <c r="B362" s="177"/>
      <c r="C362" s="173"/>
      <c r="D362" s="169"/>
      <c r="E362" s="166"/>
      <c r="F362" s="165"/>
      <c r="G362" s="142" t="s">
        <v>330</v>
      </c>
      <c r="H362" s="154" t="s">
        <v>235</v>
      </c>
      <c r="I362" s="33">
        <f>I498</f>
        <v>0</v>
      </c>
      <c r="J362" s="33">
        <f t="shared" ref="J362:Q362" si="166">J466</f>
        <v>1495.41</v>
      </c>
      <c r="K362" s="33">
        <f>K466</f>
        <v>1495.41</v>
      </c>
      <c r="L362" s="33">
        <f>L466</f>
        <v>1495.41</v>
      </c>
      <c r="M362" s="33">
        <f>M466</f>
        <v>1495.41</v>
      </c>
      <c r="N362" s="33">
        <f>N466</f>
        <v>1495.41</v>
      </c>
      <c r="O362" s="33">
        <f t="shared" si="166"/>
        <v>0</v>
      </c>
      <c r="P362" s="33">
        <f t="shared" si="166"/>
        <v>0</v>
      </c>
      <c r="Q362" s="33">
        <f t="shared" si="166"/>
        <v>0</v>
      </c>
      <c r="R362" s="33">
        <f>R466</f>
        <v>0</v>
      </c>
      <c r="S362" s="33">
        <f t="shared" si="165"/>
        <v>7477.05</v>
      </c>
      <c r="AG362" s="52"/>
      <c r="AH362" s="52"/>
      <c r="AI362" s="52"/>
      <c r="AJ362" s="52"/>
      <c r="AM362" s="44"/>
      <c r="AV362" s="44"/>
    </row>
    <row r="363" spans="1:80" ht="29.25" hidden="1" customHeight="1" x14ac:dyDescent="0.25">
      <c r="A363" s="190"/>
      <c r="B363" s="177"/>
      <c r="C363" s="173"/>
      <c r="D363" s="169"/>
      <c r="E363" s="166"/>
      <c r="F363" s="165"/>
      <c r="G363" s="142" t="s">
        <v>330</v>
      </c>
      <c r="H363" s="154" t="s">
        <v>234</v>
      </c>
      <c r="I363" s="33" t="e">
        <f>#REF!</f>
        <v>#REF!</v>
      </c>
      <c r="J363" s="33">
        <f>J470</f>
        <v>19088.11</v>
      </c>
      <c r="K363" s="33">
        <f>K470</f>
        <v>19088.11</v>
      </c>
      <c r="L363" s="33">
        <f>L470</f>
        <v>19088.11</v>
      </c>
      <c r="M363" s="33">
        <f>M470</f>
        <v>19088.11</v>
      </c>
      <c r="N363" s="33">
        <f>N470</f>
        <v>19088.11</v>
      </c>
      <c r="O363" s="33">
        <v>0</v>
      </c>
      <c r="P363" s="33">
        <v>1</v>
      </c>
      <c r="Q363" s="33">
        <v>2</v>
      </c>
      <c r="R363" s="33">
        <v>3</v>
      </c>
      <c r="S363" s="33" t="e">
        <f t="shared" si="165"/>
        <v>#REF!</v>
      </c>
      <c r="AG363" s="52"/>
      <c r="AH363" s="52"/>
      <c r="AI363" s="52"/>
      <c r="AJ363" s="52"/>
      <c r="AM363" s="44"/>
      <c r="AV363" s="44"/>
    </row>
    <row r="364" spans="1:80" ht="60" customHeight="1" x14ac:dyDescent="0.25">
      <c r="A364" s="190"/>
      <c r="B364" s="177"/>
      <c r="C364" s="173"/>
      <c r="D364" s="168" t="s">
        <v>27</v>
      </c>
      <c r="E364" s="166">
        <v>931</v>
      </c>
      <c r="F364" s="165" t="s">
        <v>60</v>
      </c>
      <c r="G364" s="142" t="s">
        <v>330</v>
      </c>
      <c r="H364" s="154" t="s">
        <v>311</v>
      </c>
      <c r="I364" s="33">
        <v>0</v>
      </c>
      <c r="J364" s="33">
        <v>0</v>
      </c>
      <c r="K364" s="33">
        <v>0</v>
      </c>
      <c r="L364" s="33">
        <v>0</v>
      </c>
      <c r="M364" s="33">
        <v>0</v>
      </c>
      <c r="N364" s="33">
        <v>0</v>
      </c>
      <c r="O364" s="33">
        <f>O474</f>
        <v>0</v>
      </c>
      <c r="P364" s="33">
        <f>P474</f>
        <v>14871.8</v>
      </c>
      <c r="Q364" s="33">
        <f>Q474</f>
        <v>13681.96</v>
      </c>
      <c r="R364" s="33">
        <f>R474</f>
        <v>12552.7</v>
      </c>
      <c r="S364" s="33">
        <f t="shared" si="165"/>
        <v>41106.46</v>
      </c>
      <c r="AG364" s="52"/>
      <c r="AH364" s="52"/>
      <c r="AI364" s="52"/>
      <c r="AJ364" s="52"/>
      <c r="AM364" s="44"/>
      <c r="AV364" s="44"/>
    </row>
    <row r="365" spans="1:80" ht="24.75" hidden="1" customHeight="1" x14ac:dyDescent="0.25">
      <c r="A365" s="190"/>
      <c r="B365" s="177"/>
      <c r="C365" s="173"/>
      <c r="D365" s="168"/>
      <c r="E365" s="166"/>
      <c r="F365" s="165"/>
      <c r="G365" s="142" t="s">
        <v>330</v>
      </c>
      <c r="H365" s="154" t="s">
        <v>235</v>
      </c>
      <c r="I365" s="33">
        <v>0</v>
      </c>
      <c r="J365" s="33">
        <f t="shared" ref="J365:Q365" si="167">J478</f>
        <v>3235.75</v>
      </c>
      <c r="K365" s="33">
        <f>K478</f>
        <v>3235.75</v>
      </c>
      <c r="L365" s="33">
        <f>L478</f>
        <v>3235.75</v>
      </c>
      <c r="M365" s="33">
        <f>M478</f>
        <v>3235.75</v>
      </c>
      <c r="N365" s="33">
        <f>N478</f>
        <v>3235.75</v>
      </c>
      <c r="O365" s="33">
        <f t="shared" si="167"/>
        <v>3235.75</v>
      </c>
      <c r="P365" s="33">
        <f t="shared" si="167"/>
        <v>0</v>
      </c>
      <c r="Q365" s="33">
        <f t="shared" si="167"/>
        <v>0</v>
      </c>
      <c r="R365" s="33">
        <f>R478</f>
        <v>0</v>
      </c>
      <c r="S365" s="33">
        <f t="shared" si="165"/>
        <v>19414.5</v>
      </c>
      <c r="AG365" s="52"/>
      <c r="AH365" s="52"/>
      <c r="AI365" s="52"/>
      <c r="AJ365" s="52"/>
      <c r="AM365" s="44"/>
      <c r="AV365" s="44"/>
    </row>
    <row r="366" spans="1:80" ht="27.75" hidden="1" customHeight="1" x14ac:dyDescent="0.25">
      <c r="A366" s="190"/>
      <c r="B366" s="177"/>
      <c r="C366" s="173"/>
      <c r="D366" s="168"/>
      <c r="E366" s="166"/>
      <c r="F366" s="165"/>
      <c r="G366" s="142" t="s">
        <v>330</v>
      </c>
      <c r="H366" s="154" t="s">
        <v>234</v>
      </c>
      <c r="I366" s="33" t="e">
        <f>#REF!</f>
        <v>#REF!</v>
      </c>
      <c r="J366" s="33">
        <f>J482</f>
        <v>21925.01</v>
      </c>
      <c r="K366" s="33">
        <f>K482</f>
        <v>21925.01</v>
      </c>
      <c r="L366" s="33">
        <f>L482</f>
        <v>21925.01</v>
      </c>
      <c r="M366" s="33">
        <f>M482</f>
        <v>21925.01</v>
      </c>
      <c r="N366" s="33">
        <f>N482</f>
        <v>21925.01</v>
      </c>
      <c r="O366" s="33">
        <v>0</v>
      </c>
      <c r="P366" s="33">
        <v>1</v>
      </c>
      <c r="Q366" s="33">
        <v>2</v>
      </c>
      <c r="R366" s="33">
        <v>3</v>
      </c>
      <c r="S366" s="33" t="e">
        <f t="shared" si="165"/>
        <v>#REF!</v>
      </c>
      <c r="AG366" s="52"/>
      <c r="AH366" s="52"/>
      <c r="AI366" s="52"/>
      <c r="AJ366" s="52"/>
      <c r="AM366" s="44"/>
      <c r="AV366" s="44"/>
    </row>
    <row r="367" spans="1:80" ht="41.25" customHeight="1" x14ac:dyDescent="0.25">
      <c r="A367" s="190"/>
      <c r="B367" s="177"/>
      <c r="C367" s="173"/>
      <c r="D367" s="169" t="s">
        <v>28</v>
      </c>
      <c r="E367" s="166">
        <v>934</v>
      </c>
      <c r="F367" s="165" t="s">
        <v>60</v>
      </c>
      <c r="G367" s="142" t="s">
        <v>330</v>
      </c>
      <c r="H367" s="154" t="s">
        <v>87</v>
      </c>
      <c r="I367" s="33">
        <f>I368+I369</f>
        <v>0</v>
      </c>
      <c r="J367" s="33">
        <v>0</v>
      </c>
      <c r="K367" s="33">
        <v>0</v>
      </c>
      <c r="L367" s="33">
        <v>0</v>
      </c>
      <c r="M367" s="33">
        <v>0</v>
      </c>
      <c r="N367" s="33">
        <v>0</v>
      </c>
      <c r="O367" s="33">
        <f>O486</f>
        <v>0</v>
      </c>
      <c r="P367" s="33">
        <f>P486</f>
        <v>14871.8</v>
      </c>
      <c r="Q367" s="33">
        <f>Q486</f>
        <v>13681.96</v>
      </c>
      <c r="R367" s="33">
        <f>R486</f>
        <v>12552.7</v>
      </c>
      <c r="S367" s="33">
        <f t="shared" si="165"/>
        <v>41106.46</v>
      </c>
      <c r="AG367" s="52"/>
      <c r="AH367" s="52"/>
      <c r="AI367" s="52"/>
      <c r="AJ367" s="52"/>
      <c r="AM367" s="44"/>
      <c r="AV367" s="44"/>
    </row>
    <row r="368" spans="1:80" ht="40.5" hidden="1" customHeight="1" x14ac:dyDescent="0.25">
      <c r="A368" s="190"/>
      <c r="B368" s="177"/>
      <c r="C368" s="173"/>
      <c r="D368" s="169"/>
      <c r="E368" s="166"/>
      <c r="F368" s="165"/>
      <c r="G368" s="142" t="s">
        <v>330</v>
      </c>
      <c r="H368" s="154" t="s">
        <v>235</v>
      </c>
      <c r="I368" s="33">
        <v>0</v>
      </c>
      <c r="J368" s="33">
        <f t="shared" ref="J368:Q368" si="168">J490</f>
        <v>5530.72</v>
      </c>
      <c r="K368" s="33">
        <f>K490</f>
        <v>5530.72</v>
      </c>
      <c r="L368" s="33">
        <f>L490</f>
        <v>5530.72</v>
      </c>
      <c r="M368" s="33">
        <f>M490</f>
        <v>5530.72</v>
      </c>
      <c r="N368" s="33">
        <f>N490</f>
        <v>5530.72</v>
      </c>
      <c r="O368" s="33">
        <f t="shared" si="168"/>
        <v>5530.72</v>
      </c>
      <c r="P368" s="33">
        <f t="shared" si="168"/>
        <v>0</v>
      </c>
      <c r="Q368" s="33">
        <f t="shared" si="168"/>
        <v>0</v>
      </c>
      <c r="R368" s="33">
        <f>R490</f>
        <v>0</v>
      </c>
      <c r="S368" s="33">
        <f t="shared" si="165"/>
        <v>33184.32</v>
      </c>
      <c r="AG368" s="52"/>
      <c r="AH368" s="52"/>
      <c r="AI368" s="52"/>
      <c r="AJ368" s="52"/>
      <c r="AM368" s="44"/>
      <c r="CB368" s="44">
        <f>I369+I430</f>
        <v>0</v>
      </c>
    </row>
    <row r="369" spans="1:80" ht="27.75" hidden="1" customHeight="1" x14ac:dyDescent="0.25">
      <c r="A369" s="190"/>
      <c r="B369" s="177"/>
      <c r="C369" s="173"/>
      <c r="D369" s="169"/>
      <c r="E369" s="166"/>
      <c r="F369" s="165"/>
      <c r="G369" s="142" t="s">
        <v>330</v>
      </c>
      <c r="H369" s="154" t="s">
        <v>234</v>
      </c>
      <c r="I369" s="33">
        <f>I692</f>
        <v>0</v>
      </c>
      <c r="J369" s="33">
        <f t="shared" ref="J369:Q369" si="169">J494</f>
        <v>12789.72</v>
      </c>
      <c r="K369" s="33">
        <f>K494</f>
        <v>12789.72</v>
      </c>
      <c r="L369" s="33">
        <f>L494</f>
        <v>12789.72</v>
      </c>
      <c r="M369" s="33">
        <f>M494</f>
        <v>12789.72</v>
      </c>
      <c r="N369" s="33">
        <f>N494</f>
        <v>12789.72</v>
      </c>
      <c r="O369" s="33">
        <f t="shared" si="169"/>
        <v>12789.72</v>
      </c>
      <c r="P369" s="33">
        <f t="shared" si="169"/>
        <v>0</v>
      </c>
      <c r="Q369" s="33">
        <f t="shared" si="169"/>
        <v>0</v>
      </c>
      <c r="R369" s="33">
        <f>R494</f>
        <v>0</v>
      </c>
      <c r="S369" s="33">
        <f t="shared" si="165"/>
        <v>76738.319999999992</v>
      </c>
      <c r="AG369" s="52"/>
      <c r="AH369" s="52"/>
      <c r="AI369" s="52"/>
      <c r="AJ369" s="52"/>
      <c r="AM369" s="44"/>
      <c r="AV369" s="44" t="e">
        <f>AV429+#REF!+#REF!</f>
        <v>#REF!</v>
      </c>
      <c r="CA369" s="44">
        <f>I372+I432</f>
        <v>0</v>
      </c>
      <c r="CB369" s="44">
        <f>I371+I431</f>
        <v>0</v>
      </c>
    </row>
    <row r="370" spans="1:80" ht="53.25" customHeight="1" x14ac:dyDescent="0.25">
      <c r="A370" s="190"/>
      <c r="B370" s="177"/>
      <c r="C370" s="173"/>
      <c r="D370" s="169" t="s">
        <v>29</v>
      </c>
      <c r="E370" s="166">
        <v>937</v>
      </c>
      <c r="F370" s="165" t="s">
        <v>60</v>
      </c>
      <c r="G370" s="142" t="s">
        <v>330</v>
      </c>
      <c r="H370" s="154" t="s">
        <v>87</v>
      </c>
      <c r="I370" s="33">
        <f>I371+I372</f>
        <v>0</v>
      </c>
      <c r="J370" s="33">
        <v>0</v>
      </c>
      <c r="K370" s="33">
        <v>0</v>
      </c>
      <c r="L370" s="33">
        <v>0</v>
      </c>
      <c r="M370" s="33">
        <v>0</v>
      </c>
      <c r="N370" s="33">
        <v>0</v>
      </c>
      <c r="O370" s="33">
        <f>O498</f>
        <v>0</v>
      </c>
      <c r="P370" s="33">
        <f>P498</f>
        <v>14871.8</v>
      </c>
      <c r="Q370" s="33">
        <f>Q498</f>
        <v>13681.95</v>
      </c>
      <c r="R370" s="33">
        <f>R498</f>
        <v>12552.7</v>
      </c>
      <c r="S370" s="33">
        <f t="shared" si="165"/>
        <v>41106.449999999997</v>
      </c>
      <c r="AG370" s="52"/>
      <c r="AH370" s="52"/>
      <c r="AI370" s="52"/>
      <c r="AJ370" s="52"/>
      <c r="AM370" s="44"/>
      <c r="AV370" s="44"/>
      <c r="CA370" s="44"/>
      <c r="CB370" s="44"/>
    </row>
    <row r="371" spans="1:80" ht="27.75" hidden="1" customHeight="1" x14ac:dyDescent="0.25">
      <c r="A371" s="152"/>
      <c r="B371" s="145"/>
      <c r="C371" s="173"/>
      <c r="D371" s="169"/>
      <c r="E371" s="166"/>
      <c r="F371" s="165"/>
      <c r="G371" s="142" t="s">
        <v>330</v>
      </c>
      <c r="H371" s="154" t="s">
        <v>235</v>
      </c>
      <c r="I371" s="33">
        <v>0</v>
      </c>
      <c r="J371" s="33" t="e">
        <f>#REF!</f>
        <v>#REF!</v>
      </c>
      <c r="K371" s="33" t="e">
        <f>#REF!</f>
        <v>#REF!</v>
      </c>
      <c r="L371" s="33" t="e">
        <f>#REF!</f>
        <v>#REF!</v>
      </c>
      <c r="M371" s="33" t="e">
        <f>#REF!</f>
        <v>#REF!</v>
      </c>
      <c r="N371" s="33" t="e">
        <f>#REF!</f>
        <v>#REF!</v>
      </c>
      <c r="O371" s="33" t="e">
        <f>#REF!</f>
        <v>#REF!</v>
      </c>
      <c r="P371" s="33"/>
      <c r="Q371" s="33"/>
      <c r="R371" s="33"/>
      <c r="S371" s="33" t="e">
        <f t="shared" si="165"/>
        <v>#REF!</v>
      </c>
      <c r="AG371" s="52"/>
      <c r="AH371" s="52"/>
      <c r="AI371" s="52"/>
      <c r="AJ371" s="52"/>
      <c r="AM371" s="44"/>
      <c r="CB371" s="44">
        <f>SUM(CB368:CB369)</f>
        <v>0</v>
      </c>
    </row>
    <row r="372" spans="1:80" ht="27.75" hidden="1" customHeight="1" x14ac:dyDescent="0.25">
      <c r="A372" s="152"/>
      <c r="B372" s="145"/>
      <c r="C372" s="173"/>
      <c r="D372" s="169"/>
      <c r="E372" s="166"/>
      <c r="F372" s="165"/>
      <c r="G372" s="142" t="s">
        <v>330</v>
      </c>
      <c r="H372" s="154" t="s">
        <v>234</v>
      </c>
      <c r="I372" s="33">
        <v>0</v>
      </c>
      <c r="J372" s="33" t="e">
        <f>#REF!</f>
        <v>#REF!</v>
      </c>
      <c r="K372" s="33" t="e">
        <f>#REF!</f>
        <v>#REF!</v>
      </c>
      <c r="L372" s="33" t="e">
        <f>#REF!</f>
        <v>#REF!</v>
      </c>
      <c r="M372" s="33" t="e">
        <f>#REF!</f>
        <v>#REF!</v>
      </c>
      <c r="N372" s="33" t="e">
        <f>#REF!</f>
        <v>#REF!</v>
      </c>
      <c r="O372" s="33" t="e">
        <f>#REF!</f>
        <v>#REF!</v>
      </c>
      <c r="P372" s="33"/>
      <c r="Q372" s="33"/>
      <c r="R372" s="33"/>
      <c r="S372" s="33" t="e">
        <f t="shared" si="165"/>
        <v>#REF!</v>
      </c>
      <c r="AG372" s="52"/>
      <c r="AH372" s="52"/>
      <c r="AI372" s="52"/>
      <c r="AJ372" s="52"/>
      <c r="AM372" s="44"/>
      <c r="AV372" s="44" t="e">
        <f>AV431+#REF!+#REF!</f>
        <v>#REF!</v>
      </c>
    </row>
    <row r="373" spans="1:80" ht="24.75" customHeight="1" x14ac:dyDescent="0.25">
      <c r="A373" s="190"/>
      <c r="B373" s="177"/>
      <c r="C373" s="173" t="s">
        <v>179</v>
      </c>
      <c r="D373" s="147" t="s">
        <v>10</v>
      </c>
      <c r="E373" s="142" t="s">
        <v>74</v>
      </c>
      <c r="F373" s="142" t="s">
        <v>74</v>
      </c>
      <c r="G373" s="142" t="s">
        <v>330</v>
      </c>
      <c r="H373" s="154" t="s">
        <v>74</v>
      </c>
      <c r="I373" s="33">
        <f>I474+I478</f>
        <v>0</v>
      </c>
      <c r="J373" s="33">
        <v>0</v>
      </c>
      <c r="K373" s="33">
        <v>0</v>
      </c>
      <c r="L373" s="33">
        <v>0</v>
      </c>
      <c r="M373" s="33">
        <v>0</v>
      </c>
      <c r="N373" s="33">
        <v>0</v>
      </c>
      <c r="O373" s="33">
        <f>O374+O376+O375</f>
        <v>0</v>
      </c>
      <c r="P373" s="33">
        <f>P374+P376+P375</f>
        <v>22149.48</v>
      </c>
      <c r="Q373" s="33">
        <f>Q374+Q376+Q375</f>
        <v>35471.729999999996</v>
      </c>
      <c r="R373" s="33">
        <f>R374+R376+R375</f>
        <v>47680.78</v>
      </c>
      <c r="S373" s="33">
        <f t="shared" si="165"/>
        <v>105301.98999999999</v>
      </c>
      <c r="AG373" s="52"/>
      <c r="AH373" s="52"/>
      <c r="AI373" s="52"/>
      <c r="AJ373" s="52"/>
      <c r="AM373" s="44"/>
      <c r="AV373" s="44"/>
    </row>
    <row r="374" spans="1:80" ht="56.25" customHeight="1" x14ac:dyDescent="0.25">
      <c r="A374" s="190"/>
      <c r="B374" s="177"/>
      <c r="C374" s="173"/>
      <c r="D374" s="140" t="s">
        <v>321</v>
      </c>
      <c r="E374" s="141">
        <v>915</v>
      </c>
      <c r="F374" s="142" t="s">
        <v>60</v>
      </c>
      <c r="G374" s="142" t="s">
        <v>330</v>
      </c>
      <c r="H374" s="154" t="s">
        <v>263</v>
      </c>
      <c r="I374" s="33">
        <v>0</v>
      </c>
      <c r="J374" s="33">
        <v>0</v>
      </c>
      <c r="K374" s="33">
        <v>0</v>
      </c>
      <c r="L374" s="33">
        <v>0</v>
      </c>
      <c r="M374" s="33">
        <v>0</v>
      </c>
      <c r="N374" s="33">
        <v>0</v>
      </c>
      <c r="O374" s="33">
        <f>O423</f>
        <v>0</v>
      </c>
      <c r="P374" s="33">
        <f>P423</f>
        <v>15504.64</v>
      </c>
      <c r="Q374" s="33">
        <f>Q423</f>
        <v>24830.21</v>
      </c>
      <c r="R374" s="33">
        <f>R423</f>
        <v>33376.550000000003</v>
      </c>
      <c r="S374" s="33">
        <f t="shared" si="165"/>
        <v>73711.399999999994</v>
      </c>
      <c r="AG374" s="52"/>
      <c r="AH374" s="52"/>
      <c r="AI374" s="52"/>
      <c r="AJ374" s="52"/>
      <c r="AM374" s="44"/>
      <c r="AV374" s="44"/>
    </row>
    <row r="375" spans="1:80" ht="45.75" hidden="1" customHeight="1" x14ac:dyDescent="0.25">
      <c r="A375" s="190"/>
      <c r="B375" s="177"/>
      <c r="C375" s="173"/>
      <c r="D375" s="140" t="s">
        <v>261</v>
      </c>
      <c r="E375" s="141">
        <v>911</v>
      </c>
      <c r="F375" s="142" t="s">
        <v>60</v>
      </c>
      <c r="G375" s="142" t="s">
        <v>330</v>
      </c>
      <c r="H375" s="155">
        <v>620</v>
      </c>
      <c r="I375" s="33">
        <v>0</v>
      </c>
      <c r="J375" s="33">
        <v>0</v>
      </c>
      <c r="K375" s="33">
        <v>0</v>
      </c>
      <c r="L375" s="33">
        <v>0</v>
      </c>
      <c r="M375" s="33">
        <v>0</v>
      </c>
      <c r="N375" s="33">
        <v>0</v>
      </c>
      <c r="O375" s="33">
        <f>O427</f>
        <v>0</v>
      </c>
      <c r="P375" s="33">
        <f>P427</f>
        <v>0</v>
      </c>
      <c r="Q375" s="33">
        <f>Q427</f>
        <v>0</v>
      </c>
      <c r="R375" s="33">
        <v>0</v>
      </c>
      <c r="S375" s="33">
        <f t="shared" si="165"/>
        <v>0</v>
      </c>
      <c r="AG375" s="52"/>
      <c r="AH375" s="52"/>
      <c r="AI375" s="52"/>
      <c r="AJ375" s="52"/>
      <c r="AM375" s="44"/>
      <c r="AV375" s="44"/>
    </row>
    <row r="376" spans="1:80" ht="75" customHeight="1" x14ac:dyDescent="0.25">
      <c r="A376" s="190"/>
      <c r="B376" s="177"/>
      <c r="C376" s="173"/>
      <c r="D376" s="147" t="s">
        <v>13</v>
      </c>
      <c r="E376" s="142" t="s">
        <v>53</v>
      </c>
      <c r="F376" s="142" t="s">
        <v>60</v>
      </c>
      <c r="G376" s="142" t="s">
        <v>330</v>
      </c>
      <c r="H376" s="154" t="s">
        <v>74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33">
        <f>O378+O379+O382+O383+O386+O389+O392</f>
        <v>0</v>
      </c>
      <c r="P376" s="33">
        <f>P378+P379+P382+P383+P386+P389+P392</f>
        <v>6644.84</v>
      </c>
      <c r="Q376" s="33">
        <f>Q378+Q379+Q382+Q383+Q386+Q389+Q392</f>
        <v>10641.52</v>
      </c>
      <c r="R376" s="33">
        <f>R378+R379+R382+R383+R386+R389+R392</f>
        <v>14304.23</v>
      </c>
      <c r="S376" s="33">
        <f t="shared" si="165"/>
        <v>31590.59</v>
      </c>
      <c r="AG376" s="52"/>
      <c r="AH376" s="52"/>
      <c r="AI376" s="52"/>
      <c r="AJ376" s="52"/>
      <c r="AM376" s="44"/>
      <c r="AV376" s="44"/>
    </row>
    <row r="377" spans="1:80" ht="24.75" hidden="1" customHeight="1" x14ac:dyDescent="0.25">
      <c r="A377" s="190"/>
      <c r="B377" s="177"/>
      <c r="C377" s="173"/>
      <c r="D377" s="169" t="s">
        <v>23</v>
      </c>
      <c r="E377" s="166">
        <v>919</v>
      </c>
      <c r="F377" s="165" t="s">
        <v>60</v>
      </c>
      <c r="G377" s="142" t="s">
        <v>330</v>
      </c>
      <c r="H377" s="154" t="s">
        <v>245</v>
      </c>
      <c r="I377" s="33">
        <f>I486</f>
        <v>0</v>
      </c>
      <c r="J377" s="33">
        <v>0</v>
      </c>
      <c r="K377" s="33">
        <v>0</v>
      </c>
      <c r="L377" s="33">
        <v>0</v>
      </c>
      <c r="M377" s="33">
        <v>0</v>
      </c>
      <c r="N377" s="33">
        <v>0</v>
      </c>
      <c r="O377" s="33">
        <v>0</v>
      </c>
      <c r="P377" s="33"/>
      <c r="Q377" s="33"/>
      <c r="R377" s="33"/>
      <c r="S377" s="33">
        <f t="shared" si="165"/>
        <v>0</v>
      </c>
      <c r="AG377" s="52"/>
      <c r="AH377" s="52"/>
      <c r="AI377" s="52"/>
      <c r="AJ377" s="52"/>
      <c r="AM377" s="44"/>
      <c r="AV377" s="44"/>
    </row>
    <row r="378" spans="1:80" ht="53.25" customHeight="1" x14ac:dyDescent="0.25">
      <c r="A378" s="190"/>
      <c r="B378" s="177"/>
      <c r="C378" s="173"/>
      <c r="D378" s="169"/>
      <c r="E378" s="166"/>
      <c r="F378" s="165"/>
      <c r="G378" s="142" t="s">
        <v>330</v>
      </c>
      <c r="H378" s="154" t="s">
        <v>311</v>
      </c>
      <c r="I378" s="33">
        <v>0</v>
      </c>
      <c r="J378" s="33">
        <v>0</v>
      </c>
      <c r="K378" s="33">
        <v>0</v>
      </c>
      <c r="L378" s="33">
        <v>0</v>
      </c>
      <c r="M378" s="33">
        <v>0</v>
      </c>
      <c r="N378" s="33">
        <v>0</v>
      </c>
      <c r="O378" s="33">
        <f>O443</f>
        <v>0</v>
      </c>
      <c r="P378" s="33">
        <f>P443</f>
        <v>949.26</v>
      </c>
      <c r="Q378" s="33">
        <f>Q443</f>
        <v>1520.21</v>
      </c>
      <c r="R378" s="33">
        <f>R443</f>
        <v>2043.46</v>
      </c>
      <c r="S378" s="33">
        <f t="shared" si="165"/>
        <v>4512.93</v>
      </c>
      <c r="AG378" s="52"/>
      <c r="AH378" s="52"/>
      <c r="AI378" s="52"/>
      <c r="AJ378" s="52"/>
      <c r="AM378" s="44"/>
      <c r="AV378" s="44"/>
    </row>
    <row r="379" spans="1:80" ht="53.25" customHeight="1" x14ac:dyDescent="0.25">
      <c r="A379" s="190"/>
      <c r="B379" s="177"/>
      <c r="C379" s="173"/>
      <c r="D379" s="169" t="s">
        <v>24</v>
      </c>
      <c r="E379" s="166">
        <v>922</v>
      </c>
      <c r="F379" s="165" t="s">
        <v>60</v>
      </c>
      <c r="G379" s="142" t="s">
        <v>330</v>
      </c>
      <c r="H379" s="154" t="s">
        <v>311</v>
      </c>
      <c r="I379" s="33">
        <v>0</v>
      </c>
      <c r="J379" s="33">
        <v>0</v>
      </c>
      <c r="K379" s="33">
        <v>0</v>
      </c>
      <c r="L379" s="33">
        <v>0</v>
      </c>
      <c r="M379" s="33">
        <v>0</v>
      </c>
      <c r="N379" s="33">
        <v>0</v>
      </c>
      <c r="O379" s="33">
        <f>O447</f>
        <v>0</v>
      </c>
      <c r="P379" s="33">
        <f>P447</f>
        <v>949.26</v>
      </c>
      <c r="Q379" s="33">
        <f>Q447</f>
        <v>1520.21</v>
      </c>
      <c r="R379" s="33">
        <f>R447</f>
        <v>2043.46</v>
      </c>
      <c r="S379" s="33">
        <f t="shared" si="165"/>
        <v>4512.93</v>
      </c>
      <c r="AG379" s="52"/>
      <c r="AH379" s="52"/>
      <c r="AI379" s="52"/>
      <c r="AJ379" s="52"/>
      <c r="AM379" s="44"/>
      <c r="AV379" s="44"/>
    </row>
    <row r="380" spans="1:80" ht="24.75" hidden="1" customHeight="1" x14ac:dyDescent="0.25">
      <c r="A380" s="190"/>
      <c r="B380" s="177"/>
      <c r="C380" s="173"/>
      <c r="D380" s="169"/>
      <c r="E380" s="166"/>
      <c r="F380" s="165"/>
      <c r="G380" s="142" t="s">
        <v>330</v>
      </c>
      <c r="H380" s="154" t="s">
        <v>235</v>
      </c>
      <c r="I380" s="33">
        <f>I498</f>
        <v>0</v>
      </c>
      <c r="J380" s="33">
        <f t="shared" ref="J380:Q380" si="170">J451</f>
        <v>191.13</v>
      </c>
      <c r="K380" s="33">
        <f>K451</f>
        <v>191.13</v>
      </c>
      <c r="L380" s="33">
        <f>L451</f>
        <v>191.13</v>
      </c>
      <c r="M380" s="33">
        <f>M451</f>
        <v>191.13</v>
      </c>
      <c r="N380" s="33">
        <f>N451</f>
        <v>191.13</v>
      </c>
      <c r="O380" s="33">
        <f t="shared" si="170"/>
        <v>0</v>
      </c>
      <c r="P380" s="33">
        <f t="shared" si="170"/>
        <v>0</v>
      </c>
      <c r="Q380" s="33">
        <f t="shared" si="170"/>
        <v>0</v>
      </c>
      <c r="R380" s="33">
        <f>R451</f>
        <v>0</v>
      </c>
      <c r="S380" s="33">
        <f t="shared" si="165"/>
        <v>955.65</v>
      </c>
      <c r="AG380" s="52"/>
      <c r="AH380" s="52"/>
      <c r="AI380" s="52"/>
      <c r="AJ380" s="52"/>
      <c r="AM380" s="44"/>
      <c r="AV380" s="44"/>
    </row>
    <row r="381" spans="1:80" ht="24.75" hidden="1" customHeight="1" x14ac:dyDescent="0.25">
      <c r="A381" s="190"/>
      <c r="B381" s="177"/>
      <c r="C381" s="173"/>
      <c r="D381" s="169"/>
      <c r="E381" s="166"/>
      <c r="F381" s="165"/>
      <c r="G381" s="142" t="s">
        <v>330</v>
      </c>
      <c r="H381" s="154" t="s">
        <v>234</v>
      </c>
      <c r="I381" s="33" t="e">
        <f>#REF!</f>
        <v>#REF!</v>
      </c>
      <c r="J381" s="33">
        <f>J455</f>
        <v>1279.27</v>
      </c>
      <c r="K381" s="33">
        <f>K455</f>
        <v>1279.27</v>
      </c>
      <c r="L381" s="33">
        <f>L455</f>
        <v>1279.27</v>
      </c>
      <c r="M381" s="33">
        <f>M455</f>
        <v>1279.27</v>
      </c>
      <c r="N381" s="33">
        <f>N455</f>
        <v>1279.27</v>
      </c>
      <c r="O381" s="33">
        <v>0</v>
      </c>
      <c r="P381" s="33">
        <v>1</v>
      </c>
      <c r="Q381" s="33">
        <v>2</v>
      </c>
      <c r="R381" s="33">
        <v>3</v>
      </c>
      <c r="S381" s="33" t="e">
        <f t="shared" si="165"/>
        <v>#REF!</v>
      </c>
      <c r="AG381" s="52"/>
      <c r="AH381" s="52"/>
      <c r="AI381" s="52"/>
      <c r="AJ381" s="52"/>
      <c r="AM381" s="44"/>
      <c r="AV381" s="44"/>
    </row>
    <row r="382" spans="1:80" ht="40.5" customHeight="1" x14ac:dyDescent="0.25">
      <c r="A382" s="190"/>
      <c r="B382" s="177"/>
      <c r="C382" s="173"/>
      <c r="D382" s="147" t="s">
        <v>25</v>
      </c>
      <c r="E382" s="141">
        <v>925</v>
      </c>
      <c r="F382" s="142" t="s">
        <v>60</v>
      </c>
      <c r="G382" s="142" t="s">
        <v>330</v>
      </c>
      <c r="H382" s="154" t="s">
        <v>87</v>
      </c>
      <c r="I382" s="33">
        <v>0</v>
      </c>
      <c r="J382" s="33">
        <v>0</v>
      </c>
      <c r="K382" s="33">
        <v>0</v>
      </c>
      <c r="L382" s="33">
        <v>0</v>
      </c>
      <c r="M382" s="33">
        <v>0</v>
      </c>
      <c r="N382" s="33">
        <v>0</v>
      </c>
      <c r="O382" s="33">
        <f>O459</f>
        <v>0</v>
      </c>
      <c r="P382" s="33">
        <f>P459</f>
        <v>949.26</v>
      </c>
      <c r="Q382" s="33">
        <f>Q459</f>
        <v>1520.22</v>
      </c>
      <c r="R382" s="33">
        <f>R459</f>
        <v>2043.46</v>
      </c>
      <c r="S382" s="33">
        <f t="shared" si="165"/>
        <v>4512.9400000000005</v>
      </c>
      <c r="AG382" s="52"/>
      <c r="AH382" s="52"/>
      <c r="AI382" s="52"/>
      <c r="AJ382" s="52"/>
      <c r="AM382" s="44"/>
      <c r="AV382" s="44"/>
    </row>
    <row r="383" spans="1:80" ht="60" customHeight="1" x14ac:dyDescent="0.25">
      <c r="A383" s="190"/>
      <c r="B383" s="177"/>
      <c r="C383" s="173"/>
      <c r="D383" s="169" t="s">
        <v>26</v>
      </c>
      <c r="E383" s="166">
        <v>928</v>
      </c>
      <c r="F383" s="165" t="s">
        <v>60</v>
      </c>
      <c r="G383" s="142" t="s">
        <v>330</v>
      </c>
      <c r="H383" s="154" t="s">
        <v>87</v>
      </c>
      <c r="I383" s="33">
        <f>I384+I385</f>
        <v>0</v>
      </c>
      <c r="J383" s="33">
        <v>0</v>
      </c>
      <c r="K383" s="33">
        <v>0</v>
      </c>
      <c r="L383" s="33">
        <v>0</v>
      </c>
      <c r="M383" s="33">
        <v>0</v>
      </c>
      <c r="N383" s="33">
        <v>0</v>
      </c>
      <c r="O383" s="33">
        <f>O463</f>
        <v>0</v>
      </c>
      <c r="P383" s="33">
        <f>P463</f>
        <v>949.27</v>
      </c>
      <c r="Q383" s="33">
        <f>Q463</f>
        <v>1520.22</v>
      </c>
      <c r="R383" s="33">
        <f>R463</f>
        <v>2043.46</v>
      </c>
      <c r="S383" s="33">
        <f t="shared" si="165"/>
        <v>4512.95</v>
      </c>
      <c r="AG383" s="52"/>
      <c r="AH383" s="52"/>
      <c r="AI383" s="52"/>
      <c r="AJ383" s="52"/>
      <c r="AM383" s="44"/>
      <c r="AV383" s="44"/>
    </row>
    <row r="384" spans="1:80" ht="24.75" hidden="1" customHeight="1" x14ac:dyDescent="0.25">
      <c r="A384" s="190"/>
      <c r="B384" s="177"/>
      <c r="C384" s="173"/>
      <c r="D384" s="169"/>
      <c r="E384" s="166"/>
      <c r="F384" s="165"/>
      <c r="G384" s="142" t="s">
        <v>330</v>
      </c>
      <c r="H384" s="154" t="s">
        <v>235</v>
      </c>
      <c r="I384" s="33">
        <v>0</v>
      </c>
      <c r="J384" s="33">
        <f t="shared" ref="J384:P384" si="171">J467</f>
        <v>78.7</v>
      </c>
      <c r="K384" s="33">
        <f>K467</f>
        <v>78.7</v>
      </c>
      <c r="L384" s="33">
        <f>L467</f>
        <v>78.7</v>
      </c>
      <c r="M384" s="33">
        <f>M467</f>
        <v>78.7</v>
      </c>
      <c r="N384" s="33">
        <f>N467</f>
        <v>78.7</v>
      </c>
      <c r="O384" s="33">
        <f t="shared" si="171"/>
        <v>0</v>
      </c>
      <c r="P384" s="33">
        <f t="shared" si="171"/>
        <v>0</v>
      </c>
      <c r="Q384" s="33"/>
      <c r="R384" s="33"/>
      <c r="S384" s="33">
        <f t="shared" si="165"/>
        <v>393.5</v>
      </c>
      <c r="AG384" s="52"/>
      <c r="AH384" s="52"/>
      <c r="AI384" s="52"/>
      <c r="AJ384" s="52"/>
      <c r="AM384" s="44"/>
      <c r="AV384" s="44"/>
    </row>
    <row r="385" spans="1:80" ht="24.75" hidden="1" customHeight="1" x14ac:dyDescent="0.25">
      <c r="A385" s="190"/>
      <c r="B385" s="177"/>
      <c r="C385" s="173"/>
      <c r="D385" s="169"/>
      <c r="E385" s="166"/>
      <c r="F385" s="165"/>
      <c r="G385" s="142" t="s">
        <v>330</v>
      </c>
      <c r="H385" s="154" t="s">
        <v>234</v>
      </c>
      <c r="I385" s="33">
        <v>0</v>
      </c>
      <c r="J385" s="33">
        <f>J471</f>
        <v>1004.64</v>
      </c>
      <c r="K385" s="33">
        <f>K471</f>
        <v>1004.64</v>
      </c>
      <c r="L385" s="33">
        <f>L471</f>
        <v>1004.64</v>
      </c>
      <c r="M385" s="33">
        <f>M471</f>
        <v>1004.64</v>
      </c>
      <c r="N385" s="33">
        <f>N471</f>
        <v>1004.64</v>
      </c>
      <c r="O385" s="33">
        <v>0</v>
      </c>
      <c r="P385" s="33">
        <v>1</v>
      </c>
      <c r="Q385" s="33"/>
      <c r="R385" s="33"/>
      <c r="S385" s="33">
        <f t="shared" si="165"/>
        <v>5024.2</v>
      </c>
      <c r="AG385" s="52"/>
      <c r="AH385" s="52"/>
      <c r="AI385" s="52"/>
      <c r="AJ385" s="52"/>
      <c r="AM385" s="44"/>
      <c r="AV385" s="44"/>
    </row>
    <row r="386" spans="1:80" ht="57.75" customHeight="1" x14ac:dyDescent="0.25">
      <c r="A386" s="190"/>
      <c r="B386" s="177"/>
      <c r="C386" s="173"/>
      <c r="D386" s="168" t="s">
        <v>27</v>
      </c>
      <c r="E386" s="166">
        <v>931</v>
      </c>
      <c r="F386" s="165" t="s">
        <v>60</v>
      </c>
      <c r="G386" s="142" t="s">
        <v>330</v>
      </c>
      <c r="H386" s="154" t="s">
        <v>311</v>
      </c>
      <c r="I386" s="33">
        <f>I387+I388</f>
        <v>0</v>
      </c>
      <c r="J386" s="33">
        <v>0</v>
      </c>
      <c r="K386" s="33">
        <v>0</v>
      </c>
      <c r="L386" s="33">
        <v>0</v>
      </c>
      <c r="M386" s="33">
        <v>0</v>
      </c>
      <c r="N386" s="33">
        <v>0</v>
      </c>
      <c r="O386" s="33">
        <f>O475</f>
        <v>0</v>
      </c>
      <c r="P386" s="33">
        <f>P475</f>
        <v>949.26</v>
      </c>
      <c r="Q386" s="33">
        <f>Q475</f>
        <v>1520.22</v>
      </c>
      <c r="R386" s="33">
        <f>R475</f>
        <v>2043.46</v>
      </c>
      <c r="S386" s="33">
        <f t="shared" si="165"/>
        <v>4512.9400000000005</v>
      </c>
      <c r="AG386" s="52"/>
      <c r="AH386" s="52"/>
      <c r="AI386" s="52"/>
      <c r="AJ386" s="52"/>
      <c r="AM386" s="44"/>
      <c r="AV386" s="44"/>
    </row>
    <row r="387" spans="1:80" ht="24.75" hidden="1" customHeight="1" x14ac:dyDescent="0.25">
      <c r="A387" s="190"/>
      <c r="B387" s="177"/>
      <c r="C387" s="173"/>
      <c r="D387" s="168"/>
      <c r="E387" s="166"/>
      <c r="F387" s="165"/>
      <c r="G387" s="142" t="s">
        <v>330</v>
      </c>
      <c r="H387" s="154" t="s">
        <v>235</v>
      </c>
      <c r="I387" s="33">
        <f>I692</f>
        <v>0</v>
      </c>
      <c r="J387" s="33">
        <f t="shared" ref="J387:P387" si="172">J479</f>
        <v>170.3</v>
      </c>
      <c r="K387" s="33">
        <f>K479</f>
        <v>170.3</v>
      </c>
      <c r="L387" s="33">
        <f>L479</f>
        <v>170.3</v>
      </c>
      <c r="M387" s="33">
        <f>M479</f>
        <v>170.3</v>
      </c>
      <c r="N387" s="33">
        <f>N479</f>
        <v>170.3</v>
      </c>
      <c r="O387" s="33">
        <f t="shared" si="172"/>
        <v>170.3</v>
      </c>
      <c r="P387" s="33">
        <f t="shared" si="172"/>
        <v>0</v>
      </c>
      <c r="Q387" s="33"/>
      <c r="R387" s="33"/>
      <c r="S387" s="33">
        <f t="shared" si="165"/>
        <v>1021.8</v>
      </c>
      <c r="AG387" s="52"/>
      <c r="AH387" s="52"/>
      <c r="AI387" s="52"/>
      <c r="AJ387" s="52"/>
      <c r="AM387" s="44"/>
      <c r="AV387" s="44"/>
    </row>
    <row r="388" spans="1:80" ht="30.75" hidden="1" customHeight="1" x14ac:dyDescent="0.25">
      <c r="A388" s="190"/>
      <c r="B388" s="177"/>
      <c r="C388" s="173"/>
      <c r="D388" s="168"/>
      <c r="E388" s="166"/>
      <c r="F388" s="165"/>
      <c r="G388" s="142" t="s">
        <v>330</v>
      </c>
      <c r="H388" s="154" t="s">
        <v>234</v>
      </c>
      <c r="I388" s="33">
        <v>0</v>
      </c>
      <c r="J388" s="33">
        <f>J483</f>
        <v>1153.95</v>
      </c>
      <c r="K388" s="33">
        <f>K483</f>
        <v>1153.95</v>
      </c>
      <c r="L388" s="33">
        <f>L483</f>
        <v>1153.95</v>
      </c>
      <c r="M388" s="33">
        <f>M483</f>
        <v>1153.95</v>
      </c>
      <c r="N388" s="33">
        <f>N483</f>
        <v>1153.95</v>
      </c>
      <c r="O388" s="33">
        <v>0</v>
      </c>
      <c r="P388" s="33">
        <v>1</v>
      </c>
      <c r="Q388" s="33"/>
      <c r="R388" s="33"/>
      <c r="S388" s="33">
        <f t="shared" si="165"/>
        <v>5770.75</v>
      </c>
      <c r="AG388" s="52"/>
      <c r="AH388" s="52"/>
      <c r="AI388" s="52"/>
      <c r="AJ388" s="52"/>
      <c r="AM388" s="44"/>
      <c r="AV388" s="44"/>
    </row>
    <row r="389" spans="1:80" ht="46.5" customHeight="1" x14ac:dyDescent="0.25">
      <c r="A389" s="190"/>
      <c r="B389" s="177"/>
      <c r="C389" s="173"/>
      <c r="D389" s="169" t="s">
        <v>28</v>
      </c>
      <c r="E389" s="166">
        <v>934</v>
      </c>
      <c r="F389" s="165" t="s">
        <v>60</v>
      </c>
      <c r="G389" s="142" t="s">
        <v>330</v>
      </c>
      <c r="H389" s="154" t="s">
        <v>311</v>
      </c>
      <c r="I389" s="33">
        <f>I390+I391</f>
        <v>0</v>
      </c>
      <c r="J389" s="33">
        <v>0</v>
      </c>
      <c r="K389" s="33">
        <v>0</v>
      </c>
      <c r="L389" s="33">
        <v>0</v>
      </c>
      <c r="M389" s="33">
        <v>0</v>
      </c>
      <c r="N389" s="33">
        <v>0</v>
      </c>
      <c r="O389" s="33">
        <f>O487</f>
        <v>0</v>
      </c>
      <c r="P389" s="33">
        <f>P487</f>
        <v>949.27</v>
      </c>
      <c r="Q389" s="33">
        <f>Q487</f>
        <v>1520.22</v>
      </c>
      <c r="R389" s="33">
        <f>R487</f>
        <v>2043.47</v>
      </c>
      <c r="S389" s="33">
        <f t="shared" si="165"/>
        <v>4512.96</v>
      </c>
      <c r="AG389" s="52"/>
      <c r="AH389" s="52"/>
      <c r="AI389" s="52"/>
      <c r="AJ389" s="52"/>
      <c r="AM389" s="44"/>
      <c r="AV389" s="44"/>
    </row>
    <row r="390" spans="1:80" ht="40.5" hidden="1" customHeight="1" x14ac:dyDescent="0.25">
      <c r="A390" s="190"/>
      <c r="B390" s="177"/>
      <c r="C390" s="173"/>
      <c r="D390" s="169"/>
      <c r="E390" s="166"/>
      <c r="F390" s="165"/>
      <c r="G390" s="142" t="s">
        <v>330</v>
      </c>
      <c r="H390" s="154" t="s">
        <v>235</v>
      </c>
      <c r="I390" s="33">
        <v>0</v>
      </c>
      <c r="J390" s="33">
        <f t="shared" ref="J390:P390" si="173">J491</f>
        <v>291.08999999999997</v>
      </c>
      <c r="K390" s="33">
        <f>K491</f>
        <v>291.08999999999997</v>
      </c>
      <c r="L390" s="33">
        <f>L491</f>
        <v>291.08999999999997</v>
      </c>
      <c r="M390" s="33">
        <f>M491</f>
        <v>291.08999999999997</v>
      </c>
      <c r="N390" s="33">
        <f>N491</f>
        <v>291.08999999999997</v>
      </c>
      <c r="O390" s="33">
        <f t="shared" si="173"/>
        <v>291.08999999999997</v>
      </c>
      <c r="P390" s="33">
        <f t="shared" si="173"/>
        <v>0</v>
      </c>
      <c r="Q390" s="33"/>
      <c r="R390" s="33"/>
      <c r="S390" s="33">
        <f t="shared" si="165"/>
        <v>1746.5399999999997</v>
      </c>
      <c r="AG390" s="52"/>
      <c r="AH390" s="52"/>
      <c r="AI390" s="52"/>
      <c r="AJ390" s="52"/>
      <c r="AM390" s="44"/>
      <c r="CB390" s="44">
        <f>I391+I446</f>
        <v>0</v>
      </c>
    </row>
    <row r="391" spans="1:80" ht="27.75" hidden="1" customHeight="1" x14ac:dyDescent="0.25">
      <c r="A391" s="190"/>
      <c r="B391" s="177"/>
      <c r="C391" s="173"/>
      <c r="D391" s="169"/>
      <c r="E391" s="166"/>
      <c r="F391" s="165"/>
      <c r="G391" s="142" t="s">
        <v>330</v>
      </c>
      <c r="H391" s="154" t="s">
        <v>234</v>
      </c>
      <c r="I391" s="33">
        <v>0</v>
      </c>
      <c r="J391" s="33">
        <f t="shared" ref="J391:P391" si="174">J495</f>
        <v>673.15</v>
      </c>
      <c r="K391" s="33">
        <f>K495</f>
        <v>673.15</v>
      </c>
      <c r="L391" s="33">
        <f>L495</f>
        <v>673.15</v>
      </c>
      <c r="M391" s="33">
        <f>M495</f>
        <v>673.15</v>
      </c>
      <c r="N391" s="33">
        <f>N495</f>
        <v>673.15</v>
      </c>
      <c r="O391" s="33">
        <f t="shared" si="174"/>
        <v>673.15</v>
      </c>
      <c r="P391" s="33">
        <f t="shared" si="174"/>
        <v>0</v>
      </c>
      <c r="Q391" s="33"/>
      <c r="R391" s="33"/>
      <c r="S391" s="33">
        <f t="shared" si="165"/>
        <v>4038.9</v>
      </c>
      <c r="AG391" s="52"/>
      <c r="AH391" s="52"/>
      <c r="AI391" s="52"/>
      <c r="AJ391" s="52"/>
      <c r="AM391" s="44"/>
      <c r="AV391" s="44" t="e">
        <f>AV445+#REF!+#REF!</f>
        <v>#REF!</v>
      </c>
      <c r="CA391" s="44">
        <f>I394+I448</f>
        <v>0</v>
      </c>
      <c r="CB391" s="44">
        <f>I393+I447</f>
        <v>0</v>
      </c>
    </row>
    <row r="392" spans="1:80" ht="58.5" customHeight="1" x14ac:dyDescent="0.25">
      <c r="A392" s="190"/>
      <c r="B392" s="177"/>
      <c r="C392" s="173"/>
      <c r="D392" s="169" t="s">
        <v>29</v>
      </c>
      <c r="E392" s="166">
        <v>937</v>
      </c>
      <c r="F392" s="165" t="s">
        <v>60</v>
      </c>
      <c r="G392" s="142" t="s">
        <v>330</v>
      </c>
      <c r="H392" s="154" t="s">
        <v>87</v>
      </c>
      <c r="I392" s="33">
        <f>I393+I394</f>
        <v>0</v>
      </c>
      <c r="J392" s="33">
        <v>0</v>
      </c>
      <c r="K392" s="33">
        <v>0</v>
      </c>
      <c r="L392" s="33">
        <v>0</v>
      </c>
      <c r="M392" s="33">
        <v>0</v>
      </c>
      <c r="N392" s="33">
        <v>0</v>
      </c>
      <c r="O392" s="33">
        <f>O499</f>
        <v>0</v>
      </c>
      <c r="P392" s="33">
        <f>P499</f>
        <v>949.26</v>
      </c>
      <c r="Q392" s="33">
        <f>Q499</f>
        <v>1520.22</v>
      </c>
      <c r="R392" s="33">
        <f>R499</f>
        <v>2043.46</v>
      </c>
      <c r="S392" s="33">
        <f t="shared" ref="S392:S401" si="175">SUM(I392:R392)</f>
        <v>4512.9400000000005</v>
      </c>
      <c r="AG392" s="52"/>
      <c r="AH392" s="52"/>
      <c r="AI392" s="52"/>
      <c r="AJ392" s="52"/>
      <c r="AM392" s="44"/>
      <c r="AV392" s="44"/>
      <c r="CA392" s="44"/>
      <c r="CB392" s="44"/>
    </row>
    <row r="393" spans="1:80" ht="27.75" hidden="1" customHeight="1" x14ac:dyDescent="0.25">
      <c r="A393" s="152"/>
      <c r="B393" s="145"/>
      <c r="C393" s="173"/>
      <c r="D393" s="169"/>
      <c r="E393" s="166"/>
      <c r="F393" s="165"/>
      <c r="G393" s="142" t="s">
        <v>330</v>
      </c>
      <c r="H393" s="154" t="s">
        <v>235</v>
      </c>
      <c r="I393" s="33">
        <v>0</v>
      </c>
      <c r="J393" s="33" t="e">
        <f>#REF!</f>
        <v>#REF!</v>
      </c>
      <c r="K393" s="33" t="e">
        <f>#REF!</f>
        <v>#REF!</v>
      </c>
      <c r="L393" s="33" t="e">
        <f>#REF!</f>
        <v>#REF!</v>
      </c>
      <c r="M393" s="33" t="e">
        <f>#REF!</f>
        <v>#REF!</v>
      </c>
      <c r="N393" s="33" t="e">
        <f>#REF!</f>
        <v>#REF!</v>
      </c>
      <c r="O393" s="33" t="e">
        <f>#REF!</f>
        <v>#REF!</v>
      </c>
      <c r="P393" s="33"/>
      <c r="Q393" s="33"/>
      <c r="R393" s="33"/>
      <c r="S393" s="33" t="e">
        <f t="shared" si="175"/>
        <v>#REF!</v>
      </c>
      <c r="AG393" s="52"/>
      <c r="AH393" s="52"/>
      <c r="AI393" s="52"/>
      <c r="AJ393" s="52"/>
      <c r="AM393" s="44"/>
      <c r="CB393" s="44">
        <f>SUM(CB390:CB391)</f>
        <v>0</v>
      </c>
    </row>
    <row r="394" spans="1:80" ht="27.75" hidden="1" customHeight="1" x14ac:dyDescent="0.25">
      <c r="A394" s="152"/>
      <c r="B394" s="145"/>
      <c r="C394" s="173"/>
      <c r="D394" s="169"/>
      <c r="E394" s="166"/>
      <c r="F394" s="165"/>
      <c r="G394" s="142" t="s">
        <v>330</v>
      </c>
      <c r="H394" s="154" t="s">
        <v>234</v>
      </c>
      <c r="I394" s="33">
        <v>0</v>
      </c>
      <c r="J394" s="33" t="e">
        <f>#REF!</f>
        <v>#REF!</v>
      </c>
      <c r="K394" s="33" t="e">
        <f>#REF!</f>
        <v>#REF!</v>
      </c>
      <c r="L394" s="33" t="e">
        <f>#REF!</f>
        <v>#REF!</v>
      </c>
      <c r="M394" s="33" t="e">
        <f>#REF!</f>
        <v>#REF!</v>
      </c>
      <c r="N394" s="33" t="e">
        <f>#REF!</f>
        <v>#REF!</v>
      </c>
      <c r="O394" s="33" t="e">
        <f>#REF!</f>
        <v>#REF!</v>
      </c>
      <c r="P394" s="33"/>
      <c r="Q394" s="33"/>
      <c r="R394" s="33"/>
      <c r="S394" s="33" t="e">
        <f t="shared" si="175"/>
        <v>#REF!</v>
      </c>
      <c r="AG394" s="52"/>
      <c r="AH394" s="52"/>
      <c r="AI394" s="52"/>
      <c r="AJ394" s="52"/>
      <c r="AM394" s="44"/>
      <c r="AV394" s="44" t="e">
        <f>AV447+#REF!+#REF!</f>
        <v>#REF!</v>
      </c>
    </row>
    <row r="395" spans="1:80" ht="24.75" customHeight="1" x14ac:dyDescent="0.25">
      <c r="A395" s="190"/>
      <c r="B395" s="177"/>
      <c r="C395" s="173" t="s">
        <v>37</v>
      </c>
      <c r="D395" s="147" t="s">
        <v>10</v>
      </c>
      <c r="E395" s="142" t="s">
        <v>74</v>
      </c>
      <c r="F395" s="142" t="s">
        <v>74</v>
      </c>
      <c r="G395" s="142" t="s">
        <v>330</v>
      </c>
      <c r="H395" s="154" t="s">
        <v>74</v>
      </c>
      <c r="I395" s="33">
        <f>I490+I494</f>
        <v>0</v>
      </c>
      <c r="J395" s="33">
        <v>0</v>
      </c>
      <c r="K395" s="33">
        <v>0</v>
      </c>
      <c r="L395" s="33">
        <v>0</v>
      </c>
      <c r="M395" s="33">
        <v>0</v>
      </c>
      <c r="N395" s="33">
        <v>0</v>
      </c>
      <c r="O395" s="33">
        <f>O396+O398+O397</f>
        <v>0</v>
      </c>
      <c r="P395" s="33">
        <f>P396+P398+P397</f>
        <v>20653.84</v>
      </c>
      <c r="Q395" s="33">
        <f>Q396+Q398+Q397</f>
        <v>20653.84</v>
      </c>
      <c r="R395" s="33">
        <f>R396+R398+R397</f>
        <v>20653.84</v>
      </c>
      <c r="S395" s="33">
        <f t="shared" si="175"/>
        <v>61961.520000000004</v>
      </c>
      <c r="AG395" s="52"/>
      <c r="AH395" s="52"/>
      <c r="AI395" s="52"/>
      <c r="AJ395" s="52"/>
      <c r="AM395" s="44"/>
      <c r="AV395" s="44"/>
    </row>
    <row r="396" spans="1:80" ht="55.5" customHeight="1" x14ac:dyDescent="0.25">
      <c r="A396" s="190"/>
      <c r="B396" s="177"/>
      <c r="C396" s="173"/>
      <c r="D396" s="140" t="s">
        <v>321</v>
      </c>
      <c r="E396" s="141">
        <v>915</v>
      </c>
      <c r="F396" s="142" t="s">
        <v>60</v>
      </c>
      <c r="G396" s="142" t="s">
        <v>330</v>
      </c>
      <c r="H396" s="154" t="s">
        <v>263</v>
      </c>
      <c r="I396" s="33">
        <v>0</v>
      </c>
      <c r="J396" s="33">
        <v>0</v>
      </c>
      <c r="K396" s="33">
        <v>0</v>
      </c>
      <c r="L396" s="33">
        <v>0</v>
      </c>
      <c r="M396" s="33">
        <v>0</v>
      </c>
      <c r="N396" s="33">
        <v>0</v>
      </c>
      <c r="O396" s="33">
        <f>O424</f>
        <v>0</v>
      </c>
      <c r="P396" s="33">
        <f>P424</f>
        <v>14457.69</v>
      </c>
      <c r="Q396" s="33">
        <f>Q424</f>
        <v>14457.69</v>
      </c>
      <c r="R396" s="33">
        <f>R424</f>
        <v>14457.69</v>
      </c>
      <c r="S396" s="33">
        <f t="shared" si="175"/>
        <v>43373.07</v>
      </c>
      <c r="AG396" s="52"/>
      <c r="AH396" s="52"/>
      <c r="AI396" s="52"/>
      <c r="AJ396" s="52"/>
      <c r="AM396" s="44"/>
      <c r="AV396" s="44"/>
    </row>
    <row r="397" spans="1:80" ht="46.5" hidden="1" customHeight="1" x14ac:dyDescent="0.25">
      <c r="A397" s="190"/>
      <c r="B397" s="177"/>
      <c r="C397" s="173"/>
      <c r="D397" s="140" t="s">
        <v>261</v>
      </c>
      <c r="E397" s="141">
        <v>911</v>
      </c>
      <c r="F397" s="142" t="s">
        <v>60</v>
      </c>
      <c r="G397" s="142" t="s">
        <v>330</v>
      </c>
      <c r="H397" s="155">
        <v>620</v>
      </c>
      <c r="I397" s="33">
        <v>0</v>
      </c>
      <c r="J397" s="33">
        <v>0</v>
      </c>
      <c r="K397" s="33">
        <v>0</v>
      </c>
      <c r="L397" s="33">
        <v>0</v>
      </c>
      <c r="M397" s="33">
        <v>0</v>
      </c>
      <c r="N397" s="33">
        <v>0</v>
      </c>
      <c r="O397" s="33">
        <f>O428</f>
        <v>0</v>
      </c>
      <c r="P397" s="33">
        <f>P428</f>
        <v>0</v>
      </c>
      <c r="Q397" s="33">
        <f>Q428</f>
        <v>0</v>
      </c>
      <c r="R397" s="33">
        <v>0</v>
      </c>
      <c r="S397" s="33">
        <f t="shared" si="175"/>
        <v>0</v>
      </c>
      <c r="AG397" s="52"/>
      <c r="AH397" s="52"/>
      <c r="AI397" s="52"/>
      <c r="AJ397" s="52"/>
      <c r="AM397" s="44"/>
      <c r="AV397" s="44"/>
    </row>
    <row r="398" spans="1:80" ht="75" customHeight="1" x14ac:dyDescent="0.25">
      <c r="A398" s="190"/>
      <c r="B398" s="177"/>
      <c r="C398" s="173"/>
      <c r="D398" s="147" t="s">
        <v>13</v>
      </c>
      <c r="E398" s="142" t="s">
        <v>53</v>
      </c>
      <c r="F398" s="142" t="s">
        <v>60</v>
      </c>
      <c r="G398" s="142" t="s">
        <v>330</v>
      </c>
      <c r="H398" s="154" t="s">
        <v>74</v>
      </c>
      <c r="I398" s="33">
        <v>0</v>
      </c>
      <c r="J398" s="33">
        <v>0</v>
      </c>
      <c r="K398" s="33">
        <v>0</v>
      </c>
      <c r="L398" s="33">
        <v>0</v>
      </c>
      <c r="M398" s="33">
        <v>0</v>
      </c>
      <c r="N398" s="33">
        <v>0</v>
      </c>
      <c r="O398" s="33">
        <f>O400+O401+O404+O405+O408+O411+O414</f>
        <v>0</v>
      </c>
      <c r="P398" s="33">
        <f>P400+P401+P404+P405+P408+P411+P414</f>
        <v>6196.15</v>
      </c>
      <c r="Q398" s="33">
        <f>Q400+Q401+Q404+Q405+Q408+Q411+Q414</f>
        <v>6196.15</v>
      </c>
      <c r="R398" s="33">
        <f>R400+R401+R404+R405+R408+R411+R414</f>
        <v>6196.15</v>
      </c>
      <c r="S398" s="33">
        <f t="shared" si="175"/>
        <v>18588.449999999997</v>
      </c>
      <c r="AG398" s="52"/>
      <c r="AH398" s="52"/>
      <c r="AI398" s="52"/>
      <c r="AJ398" s="52"/>
      <c r="AM398" s="44"/>
      <c r="AV398" s="44"/>
    </row>
    <row r="399" spans="1:80" ht="24.75" hidden="1" customHeight="1" x14ac:dyDescent="0.25">
      <c r="A399" s="190"/>
      <c r="B399" s="177"/>
      <c r="C399" s="173"/>
      <c r="D399" s="169" t="s">
        <v>23</v>
      </c>
      <c r="E399" s="166">
        <v>919</v>
      </c>
      <c r="F399" s="165" t="s">
        <v>60</v>
      </c>
      <c r="G399" s="142" t="s">
        <v>330</v>
      </c>
      <c r="H399" s="154" t="s">
        <v>245</v>
      </c>
      <c r="I399" s="33" t="e">
        <f>#REF!</f>
        <v>#REF!</v>
      </c>
      <c r="J399" s="33">
        <v>0</v>
      </c>
      <c r="K399" s="33">
        <v>0</v>
      </c>
      <c r="L399" s="33">
        <v>0</v>
      </c>
      <c r="M399" s="33">
        <v>0</v>
      </c>
      <c r="N399" s="33">
        <v>0</v>
      </c>
      <c r="O399" s="33">
        <v>0</v>
      </c>
      <c r="P399" s="33"/>
      <c r="Q399" s="33"/>
      <c r="R399" s="33"/>
      <c r="S399" s="33" t="e">
        <f t="shared" si="175"/>
        <v>#REF!</v>
      </c>
      <c r="AG399" s="52"/>
      <c r="AH399" s="52"/>
      <c r="AI399" s="52"/>
      <c r="AJ399" s="52"/>
      <c r="AM399" s="44"/>
      <c r="AV399" s="44"/>
    </row>
    <row r="400" spans="1:80" ht="60.75" customHeight="1" x14ac:dyDescent="0.25">
      <c r="A400" s="190"/>
      <c r="B400" s="177"/>
      <c r="C400" s="173"/>
      <c r="D400" s="169"/>
      <c r="E400" s="166"/>
      <c r="F400" s="165"/>
      <c r="G400" s="142" t="s">
        <v>330</v>
      </c>
      <c r="H400" s="154" t="s">
        <v>87</v>
      </c>
      <c r="I400" s="33">
        <v>0</v>
      </c>
      <c r="J400" s="33">
        <v>0</v>
      </c>
      <c r="K400" s="33">
        <v>0</v>
      </c>
      <c r="L400" s="33">
        <v>0</v>
      </c>
      <c r="M400" s="33">
        <v>0</v>
      </c>
      <c r="N400" s="33">
        <v>0</v>
      </c>
      <c r="O400" s="33">
        <f>O444</f>
        <v>0</v>
      </c>
      <c r="P400" s="33">
        <f>P444</f>
        <v>885.17</v>
      </c>
      <c r="Q400" s="33">
        <f>Q444</f>
        <v>885.17</v>
      </c>
      <c r="R400" s="33">
        <f>R444</f>
        <v>885.17</v>
      </c>
      <c r="S400" s="33">
        <f t="shared" si="175"/>
        <v>2655.5099999999998</v>
      </c>
      <c r="AG400" s="52"/>
      <c r="AH400" s="52"/>
      <c r="AI400" s="52"/>
      <c r="AJ400" s="52"/>
      <c r="AM400" s="44"/>
      <c r="AV400" s="44"/>
    </row>
    <row r="401" spans="1:80" ht="50.25" customHeight="1" x14ac:dyDescent="0.25">
      <c r="A401" s="190"/>
      <c r="B401" s="177"/>
      <c r="C401" s="173"/>
      <c r="D401" s="169" t="s">
        <v>24</v>
      </c>
      <c r="E401" s="166">
        <v>922</v>
      </c>
      <c r="F401" s="165" t="s">
        <v>60</v>
      </c>
      <c r="G401" s="142" t="s">
        <v>330</v>
      </c>
      <c r="H401" s="154" t="s">
        <v>311</v>
      </c>
      <c r="I401" s="33">
        <f>I402+I403</f>
        <v>0</v>
      </c>
      <c r="J401" s="33">
        <v>0</v>
      </c>
      <c r="K401" s="33">
        <v>0</v>
      </c>
      <c r="L401" s="33">
        <v>0</v>
      </c>
      <c r="M401" s="33">
        <v>0</v>
      </c>
      <c r="N401" s="33">
        <v>0</v>
      </c>
      <c r="O401" s="33">
        <f>O448</f>
        <v>0</v>
      </c>
      <c r="P401" s="33">
        <f>P448</f>
        <v>885.17</v>
      </c>
      <c r="Q401" s="33">
        <f>Q448</f>
        <v>885.17</v>
      </c>
      <c r="R401" s="33">
        <f>R448</f>
        <v>885.17</v>
      </c>
      <c r="S401" s="33">
        <f t="shared" si="175"/>
        <v>2655.5099999999998</v>
      </c>
      <c r="AG401" s="52"/>
      <c r="AH401" s="52"/>
      <c r="AI401" s="52"/>
      <c r="AJ401" s="52"/>
      <c r="AM401" s="44"/>
      <c r="AV401" s="44"/>
    </row>
    <row r="402" spans="1:80" ht="24.75" hidden="1" customHeight="1" x14ac:dyDescent="0.25">
      <c r="A402" s="190"/>
      <c r="B402" s="177"/>
      <c r="C402" s="173"/>
      <c r="D402" s="169"/>
      <c r="E402" s="166"/>
      <c r="F402" s="165"/>
      <c r="G402" s="142" t="s">
        <v>330</v>
      </c>
      <c r="H402" s="154" t="s">
        <v>235</v>
      </c>
      <c r="I402" s="33">
        <v>0</v>
      </c>
      <c r="J402" s="33">
        <f t="shared" ref="J402:P402" si="176">J452</f>
        <v>249.8</v>
      </c>
      <c r="K402" s="33">
        <f>K452</f>
        <v>249.8</v>
      </c>
      <c r="L402" s="33">
        <f>L452</f>
        <v>249.8</v>
      </c>
      <c r="M402" s="33">
        <f>M452</f>
        <v>249.8</v>
      </c>
      <c r="N402" s="33">
        <f>N452</f>
        <v>249.8</v>
      </c>
      <c r="O402" s="33">
        <f t="shared" si="176"/>
        <v>0</v>
      </c>
      <c r="P402" s="33">
        <f t="shared" si="176"/>
        <v>0</v>
      </c>
      <c r="Q402" s="33"/>
      <c r="R402" s="33"/>
      <c r="S402" s="33"/>
      <c r="AG402" s="52"/>
      <c r="AH402" s="52"/>
      <c r="AI402" s="52"/>
      <c r="AJ402" s="52"/>
      <c r="AM402" s="44"/>
      <c r="AV402" s="44"/>
    </row>
    <row r="403" spans="1:80" ht="24.75" hidden="1" customHeight="1" x14ac:dyDescent="0.25">
      <c r="A403" s="190"/>
      <c r="B403" s="177"/>
      <c r="C403" s="173"/>
      <c r="D403" s="169"/>
      <c r="E403" s="166"/>
      <c r="F403" s="165"/>
      <c r="G403" s="142" t="s">
        <v>330</v>
      </c>
      <c r="H403" s="154" t="s">
        <v>234</v>
      </c>
      <c r="I403" s="33">
        <v>0</v>
      </c>
      <c r="J403" s="33">
        <f t="shared" ref="J403:P403" si="177">J456</f>
        <v>1671.95</v>
      </c>
      <c r="K403" s="33">
        <f>K456</f>
        <v>1671.95</v>
      </c>
      <c r="L403" s="33">
        <f>L456</f>
        <v>1671.95</v>
      </c>
      <c r="M403" s="33">
        <f>M456</f>
        <v>1671.95</v>
      </c>
      <c r="N403" s="33">
        <f>N456</f>
        <v>1671.95</v>
      </c>
      <c r="O403" s="33">
        <f t="shared" si="177"/>
        <v>0</v>
      </c>
      <c r="P403" s="33">
        <f t="shared" si="177"/>
        <v>0</v>
      </c>
      <c r="Q403" s="33"/>
      <c r="R403" s="33"/>
      <c r="S403" s="33"/>
      <c r="AG403" s="52"/>
      <c r="AH403" s="52"/>
      <c r="AI403" s="52"/>
      <c r="AJ403" s="52"/>
      <c r="AM403" s="44"/>
      <c r="AV403" s="44"/>
    </row>
    <row r="404" spans="1:80" ht="42.75" customHeight="1" x14ac:dyDescent="0.25">
      <c r="A404" s="190"/>
      <c r="B404" s="177"/>
      <c r="C404" s="173"/>
      <c r="D404" s="147" t="s">
        <v>25</v>
      </c>
      <c r="E404" s="141">
        <v>925</v>
      </c>
      <c r="F404" s="142" t="s">
        <v>60</v>
      </c>
      <c r="G404" s="142" t="s">
        <v>330</v>
      </c>
      <c r="H404" s="154" t="s">
        <v>87</v>
      </c>
      <c r="I404" s="33">
        <v>0</v>
      </c>
      <c r="J404" s="33">
        <v>0</v>
      </c>
      <c r="K404" s="33">
        <v>0</v>
      </c>
      <c r="L404" s="33">
        <v>0</v>
      </c>
      <c r="M404" s="33">
        <v>0</v>
      </c>
      <c r="N404" s="33">
        <v>0</v>
      </c>
      <c r="O404" s="33">
        <f>O460</f>
        <v>0</v>
      </c>
      <c r="P404" s="33">
        <f>P460</f>
        <v>885.17</v>
      </c>
      <c r="Q404" s="33">
        <f>Q460</f>
        <v>885.17</v>
      </c>
      <c r="R404" s="33">
        <f>R460</f>
        <v>885.17</v>
      </c>
      <c r="S404" s="33">
        <f>SUM(I404:R404)</f>
        <v>2655.5099999999998</v>
      </c>
      <c r="AG404" s="52"/>
      <c r="AH404" s="52"/>
      <c r="AI404" s="52"/>
      <c r="AJ404" s="52"/>
      <c r="AM404" s="44"/>
      <c r="AV404" s="44"/>
    </row>
    <row r="405" spans="1:80" ht="56.25" customHeight="1" x14ac:dyDescent="0.25">
      <c r="A405" s="190"/>
      <c r="B405" s="177"/>
      <c r="C405" s="173"/>
      <c r="D405" s="169" t="s">
        <v>26</v>
      </c>
      <c r="E405" s="166">
        <v>928</v>
      </c>
      <c r="F405" s="165" t="s">
        <v>60</v>
      </c>
      <c r="G405" s="142" t="s">
        <v>330</v>
      </c>
      <c r="H405" s="154" t="s">
        <v>87</v>
      </c>
      <c r="I405" s="33">
        <f>I406+I407</f>
        <v>0</v>
      </c>
      <c r="J405" s="33">
        <v>0</v>
      </c>
      <c r="K405" s="33">
        <v>0</v>
      </c>
      <c r="L405" s="33">
        <v>0</v>
      </c>
      <c r="M405" s="33">
        <v>0</v>
      </c>
      <c r="N405" s="33">
        <v>0</v>
      </c>
      <c r="O405" s="33">
        <f>O464</f>
        <v>0</v>
      </c>
      <c r="P405" s="33">
        <f>P464</f>
        <v>885.16</v>
      </c>
      <c r="Q405" s="33">
        <f>Q464</f>
        <v>885.16</v>
      </c>
      <c r="R405" s="33">
        <f>R464</f>
        <v>885.16</v>
      </c>
      <c r="S405" s="33">
        <f>SUM(I405:R405)</f>
        <v>2655.48</v>
      </c>
      <c r="AG405" s="52"/>
      <c r="AH405" s="52"/>
      <c r="AI405" s="52"/>
      <c r="AJ405" s="52"/>
      <c r="AM405" s="44"/>
      <c r="AV405" s="44"/>
    </row>
    <row r="406" spans="1:80" ht="24.75" hidden="1" customHeight="1" x14ac:dyDescent="0.25">
      <c r="A406" s="190"/>
      <c r="B406" s="177"/>
      <c r="C406" s="173"/>
      <c r="D406" s="169"/>
      <c r="E406" s="166"/>
      <c r="F406" s="165"/>
      <c r="G406" s="142" t="s">
        <v>330</v>
      </c>
      <c r="H406" s="154" t="s">
        <v>235</v>
      </c>
      <c r="I406" s="33">
        <v>0</v>
      </c>
      <c r="J406" s="33">
        <f t="shared" ref="J406:P406" si="178">J468</f>
        <v>102.86</v>
      </c>
      <c r="K406" s="33">
        <f>K468</f>
        <v>102.86</v>
      </c>
      <c r="L406" s="33">
        <f>L468</f>
        <v>102.86</v>
      </c>
      <c r="M406" s="33">
        <f>M468</f>
        <v>102.86</v>
      </c>
      <c r="N406" s="33">
        <f>N468</f>
        <v>102.86</v>
      </c>
      <c r="O406" s="33">
        <f t="shared" si="178"/>
        <v>0</v>
      </c>
      <c r="P406" s="33">
        <f t="shared" si="178"/>
        <v>0</v>
      </c>
      <c r="Q406" s="33"/>
      <c r="R406" s="33"/>
      <c r="S406" s="33"/>
      <c r="AG406" s="52"/>
      <c r="AH406" s="52"/>
      <c r="AI406" s="52"/>
      <c r="AJ406" s="52"/>
      <c r="AM406" s="44"/>
      <c r="AV406" s="44"/>
    </row>
    <row r="407" spans="1:80" ht="32.25" hidden="1" customHeight="1" x14ac:dyDescent="0.25">
      <c r="A407" s="190"/>
      <c r="B407" s="177"/>
      <c r="C407" s="173"/>
      <c r="D407" s="169"/>
      <c r="E407" s="166"/>
      <c r="F407" s="165"/>
      <c r="G407" s="142" t="s">
        <v>330</v>
      </c>
      <c r="H407" s="154" t="s">
        <v>234</v>
      </c>
      <c r="I407" s="33">
        <v>0</v>
      </c>
      <c r="J407" s="33">
        <f t="shared" ref="J407:P407" si="179">J472</f>
        <v>1313.01</v>
      </c>
      <c r="K407" s="33">
        <f>K472</f>
        <v>1313.01</v>
      </c>
      <c r="L407" s="33">
        <f>L472</f>
        <v>1313.01</v>
      </c>
      <c r="M407" s="33">
        <f>M472</f>
        <v>1313.01</v>
      </c>
      <c r="N407" s="33">
        <f>N472</f>
        <v>1313.01</v>
      </c>
      <c r="O407" s="33">
        <f t="shared" si="179"/>
        <v>0</v>
      </c>
      <c r="P407" s="33">
        <f t="shared" si="179"/>
        <v>0</v>
      </c>
      <c r="Q407" s="33"/>
      <c r="R407" s="33"/>
      <c r="S407" s="33"/>
      <c r="AG407" s="52"/>
      <c r="AH407" s="52"/>
      <c r="AI407" s="52"/>
      <c r="AJ407" s="52"/>
      <c r="AM407" s="44"/>
      <c r="AV407" s="44"/>
    </row>
    <row r="408" spans="1:80" ht="59.25" customHeight="1" x14ac:dyDescent="0.25">
      <c r="A408" s="190"/>
      <c r="B408" s="177"/>
      <c r="C408" s="173"/>
      <c r="D408" s="168" t="s">
        <v>27</v>
      </c>
      <c r="E408" s="166">
        <v>931</v>
      </c>
      <c r="F408" s="165" t="s">
        <v>60</v>
      </c>
      <c r="G408" s="142" t="s">
        <v>330</v>
      </c>
      <c r="H408" s="154" t="s">
        <v>87</v>
      </c>
      <c r="I408" s="33">
        <f>I409+I410</f>
        <v>0</v>
      </c>
      <c r="J408" s="33">
        <v>0</v>
      </c>
      <c r="K408" s="33">
        <v>0</v>
      </c>
      <c r="L408" s="33">
        <v>0</v>
      </c>
      <c r="M408" s="33">
        <v>0</v>
      </c>
      <c r="N408" s="33">
        <v>0</v>
      </c>
      <c r="O408" s="33">
        <f>O476</f>
        <v>0</v>
      </c>
      <c r="P408" s="33">
        <f>P476</f>
        <v>885.16</v>
      </c>
      <c r="Q408" s="33">
        <f>Q476</f>
        <v>885.16</v>
      </c>
      <c r="R408" s="33">
        <f>R476</f>
        <v>885.16</v>
      </c>
      <c r="S408" s="33">
        <f>SUM(I408:R408)</f>
        <v>2655.48</v>
      </c>
      <c r="AG408" s="52"/>
      <c r="AH408" s="52"/>
      <c r="AI408" s="52"/>
      <c r="AJ408" s="52"/>
      <c r="AM408" s="44"/>
      <c r="AV408" s="44"/>
    </row>
    <row r="409" spans="1:80" ht="24.75" hidden="1" customHeight="1" x14ac:dyDescent="0.25">
      <c r="A409" s="190"/>
      <c r="B409" s="177"/>
      <c r="C409" s="173"/>
      <c r="D409" s="168"/>
      <c r="E409" s="166"/>
      <c r="F409" s="165"/>
      <c r="G409" s="142" t="s">
        <v>330</v>
      </c>
      <c r="H409" s="154" t="s">
        <v>235</v>
      </c>
      <c r="I409" s="33">
        <v>0</v>
      </c>
      <c r="J409" s="33">
        <f t="shared" ref="J409:P409" si="180">J480</f>
        <v>222.58</v>
      </c>
      <c r="K409" s="33">
        <f>K480</f>
        <v>222.58</v>
      </c>
      <c r="L409" s="33">
        <f>L480</f>
        <v>222.58</v>
      </c>
      <c r="M409" s="33">
        <f>M480</f>
        <v>222.58</v>
      </c>
      <c r="N409" s="33">
        <f>N480</f>
        <v>222.58</v>
      </c>
      <c r="O409" s="33">
        <f t="shared" si="180"/>
        <v>222.58</v>
      </c>
      <c r="P409" s="33">
        <f t="shared" si="180"/>
        <v>0</v>
      </c>
      <c r="Q409" s="33"/>
      <c r="R409" s="33"/>
      <c r="S409" s="33"/>
      <c r="AG409" s="52"/>
      <c r="AH409" s="52"/>
      <c r="AI409" s="52"/>
      <c r="AJ409" s="52"/>
      <c r="AM409" s="44"/>
      <c r="AV409" s="44"/>
    </row>
    <row r="410" spans="1:80" ht="39.75" hidden="1" customHeight="1" x14ac:dyDescent="0.25">
      <c r="A410" s="190"/>
      <c r="B410" s="177"/>
      <c r="C410" s="173"/>
      <c r="D410" s="168"/>
      <c r="E410" s="166"/>
      <c r="F410" s="165"/>
      <c r="G410" s="142" t="s">
        <v>330</v>
      </c>
      <c r="H410" s="154" t="s">
        <v>234</v>
      </c>
      <c r="I410" s="33">
        <v>0</v>
      </c>
      <c r="J410" s="33">
        <f t="shared" ref="J410:P410" si="181">J484</f>
        <v>1508.15</v>
      </c>
      <c r="K410" s="33">
        <f>K484</f>
        <v>1508.15</v>
      </c>
      <c r="L410" s="33">
        <f>L484</f>
        <v>1508.15</v>
      </c>
      <c r="M410" s="33">
        <f>M484</f>
        <v>1508.15</v>
      </c>
      <c r="N410" s="33">
        <f>N484</f>
        <v>1508.15</v>
      </c>
      <c r="O410" s="33">
        <f t="shared" si="181"/>
        <v>1508.15</v>
      </c>
      <c r="P410" s="33">
        <f t="shared" si="181"/>
        <v>0</v>
      </c>
      <c r="Q410" s="33"/>
      <c r="R410" s="33"/>
      <c r="S410" s="33"/>
      <c r="AG410" s="52"/>
      <c r="AH410" s="52"/>
      <c r="AI410" s="52"/>
      <c r="AJ410" s="52"/>
      <c r="AM410" s="44"/>
      <c r="AV410" s="44"/>
    </row>
    <row r="411" spans="1:80" ht="47.25" customHeight="1" x14ac:dyDescent="0.25">
      <c r="A411" s="190"/>
      <c r="B411" s="177"/>
      <c r="C411" s="173"/>
      <c r="D411" s="169" t="s">
        <v>28</v>
      </c>
      <c r="E411" s="166">
        <v>934</v>
      </c>
      <c r="F411" s="165" t="s">
        <v>60</v>
      </c>
      <c r="G411" s="142" t="s">
        <v>330</v>
      </c>
      <c r="H411" s="154" t="s">
        <v>311</v>
      </c>
      <c r="I411" s="33">
        <f>I412+I413</f>
        <v>0</v>
      </c>
      <c r="J411" s="33">
        <v>0</v>
      </c>
      <c r="K411" s="33">
        <v>0</v>
      </c>
      <c r="L411" s="33">
        <v>0</v>
      </c>
      <c r="M411" s="33">
        <v>0</v>
      </c>
      <c r="N411" s="33">
        <v>0</v>
      </c>
      <c r="O411" s="33">
        <f>O488</f>
        <v>0</v>
      </c>
      <c r="P411" s="33">
        <f>P488</f>
        <v>885.16</v>
      </c>
      <c r="Q411" s="33">
        <f>Q488</f>
        <v>885.16</v>
      </c>
      <c r="R411" s="33">
        <f>R488</f>
        <v>885.16</v>
      </c>
      <c r="S411" s="33">
        <f t="shared" ref="S411:S420" si="182">SUM(I411:R411)</f>
        <v>2655.48</v>
      </c>
      <c r="AG411" s="52"/>
      <c r="AH411" s="52"/>
      <c r="AI411" s="52"/>
      <c r="AJ411" s="52"/>
      <c r="AM411" s="44"/>
      <c r="AV411" s="44"/>
    </row>
    <row r="412" spans="1:80" ht="40.5" hidden="1" customHeight="1" x14ac:dyDescent="0.25">
      <c r="A412" s="190"/>
      <c r="B412" s="177"/>
      <c r="C412" s="173"/>
      <c r="D412" s="169"/>
      <c r="E412" s="166"/>
      <c r="F412" s="165"/>
      <c r="G412" s="142" t="s">
        <v>330</v>
      </c>
      <c r="H412" s="154" t="s">
        <v>235</v>
      </c>
      <c r="I412" s="33">
        <v>0</v>
      </c>
      <c r="J412" s="33">
        <f t="shared" ref="J412:P412" si="183">J492</f>
        <v>380.44</v>
      </c>
      <c r="K412" s="33">
        <f>K492</f>
        <v>380.44</v>
      </c>
      <c r="L412" s="33">
        <f>L492</f>
        <v>380.44</v>
      </c>
      <c r="M412" s="33">
        <f>M492</f>
        <v>380.44</v>
      </c>
      <c r="N412" s="33">
        <f>N492</f>
        <v>380.44</v>
      </c>
      <c r="O412" s="33">
        <f t="shared" si="183"/>
        <v>380.44</v>
      </c>
      <c r="P412" s="33">
        <f t="shared" si="183"/>
        <v>0</v>
      </c>
      <c r="Q412" s="33"/>
      <c r="R412" s="33"/>
      <c r="S412" s="33">
        <f t="shared" si="182"/>
        <v>2282.64</v>
      </c>
      <c r="AG412" s="52"/>
      <c r="AH412" s="52"/>
      <c r="AI412" s="52"/>
      <c r="AJ412" s="52"/>
      <c r="AM412" s="44"/>
      <c r="CB412" s="44">
        <f>I413+I462</f>
        <v>0</v>
      </c>
    </row>
    <row r="413" spans="1:80" ht="27.75" hidden="1" customHeight="1" x14ac:dyDescent="0.25">
      <c r="A413" s="190"/>
      <c r="B413" s="177"/>
      <c r="C413" s="173"/>
      <c r="D413" s="169"/>
      <c r="E413" s="166"/>
      <c r="F413" s="165"/>
      <c r="G413" s="142" t="s">
        <v>330</v>
      </c>
      <c r="H413" s="154" t="s">
        <v>234</v>
      </c>
      <c r="I413" s="33">
        <v>0</v>
      </c>
      <c r="J413" s="33">
        <f>J496</f>
        <v>879.77</v>
      </c>
      <c r="K413" s="33">
        <f>K496</f>
        <v>879.77</v>
      </c>
      <c r="L413" s="33">
        <f>L496</f>
        <v>879.77</v>
      </c>
      <c r="M413" s="33">
        <f>M496</f>
        <v>879.77</v>
      </c>
      <c r="N413" s="33">
        <f>N496</f>
        <v>879.77</v>
      </c>
      <c r="O413" s="33">
        <v>855.16</v>
      </c>
      <c r="P413" s="33">
        <v>856.16</v>
      </c>
      <c r="Q413" s="33"/>
      <c r="R413" s="33"/>
      <c r="S413" s="33">
        <f t="shared" si="182"/>
        <v>6110.17</v>
      </c>
      <c r="AG413" s="52"/>
      <c r="AH413" s="52"/>
      <c r="AI413" s="52"/>
      <c r="AJ413" s="52"/>
      <c r="AM413" s="44"/>
      <c r="AV413" s="44" t="e">
        <f>AV461+#REF!+#REF!</f>
        <v>#REF!</v>
      </c>
      <c r="CA413" s="44">
        <f>I416+I464</f>
        <v>0</v>
      </c>
      <c r="CB413" s="44">
        <f>I415+I463</f>
        <v>0</v>
      </c>
    </row>
    <row r="414" spans="1:80" ht="60.75" customHeight="1" x14ac:dyDescent="0.25">
      <c r="A414" s="190"/>
      <c r="B414" s="177"/>
      <c r="C414" s="173"/>
      <c r="D414" s="168" t="s">
        <v>29</v>
      </c>
      <c r="E414" s="166">
        <v>937</v>
      </c>
      <c r="F414" s="165" t="s">
        <v>60</v>
      </c>
      <c r="G414" s="142" t="s">
        <v>330</v>
      </c>
      <c r="H414" s="154" t="s">
        <v>311</v>
      </c>
      <c r="I414" s="33">
        <v>0</v>
      </c>
      <c r="J414" s="33">
        <v>0</v>
      </c>
      <c r="K414" s="33">
        <v>0</v>
      </c>
      <c r="L414" s="33">
        <v>0</v>
      </c>
      <c r="M414" s="33">
        <v>0</v>
      </c>
      <c r="N414" s="33">
        <v>0</v>
      </c>
      <c r="O414" s="33">
        <f>O500</f>
        <v>0</v>
      </c>
      <c r="P414" s="33">
        <f>P500</f>
        <v>885.16</v>
      </c>
      <c r="Q414" s="33">
        <f>Q500</f>
        <v>885.16</v>
      </c>
      <c r="R414" s="33">
        <f>R500</f>
        <v>885.16</v>
      </c>
      <c r="S414" s="33">
        <f t="shared" si="182"/>
        <v>2655.48</v>
      </c>
      <c r="AG414" s="52"/>
      <c r="AH414" s="52"/>
      <c r="AI414" s="52"/>
      <c r="AJ414" s="52"/>
      <c r="AM414" s="44"/>
      <c r="AV414" s="44"/>
      <c r="CA414" s="44"/>
      <c r="CB414" s="44"/>
    </row>
    <row r="415" spans="1:80" ht="27.75" hidden="1" customHeight="1" x14ac:dyDescent="0.25">
      <c r="A415" s="152"/>
      <c r="B415" s="145"/>
      <c r="C415" s="173"/>
      <c r="D415" s="168"/>
      <c r="E415" s="166"/>
      <c r="F415" s="165"/>
      <c r="G415" s="142" t="s">
        <v>330</v>
      </c>
      <c r="H415" s="154" t="s">
        <v>235</v>
      </c>
      <c r="I415" s="33">
        <v>0</v>
      </c>
      <c r="J415" s="33" t="e">
        <f>#REF!</f>
        <v>#REF!</v>
      </c>
      <c r="K415" s="33" t="e">
        <f>#REF!</f>
        <v>#REF!</v>
      </c>
      <c r="L415" s="33" t="e">
        <f>#REF!</f>
        <v>#REF!</v>
      </c>
      <c r="M415" s="33" t="e">
        <f>#REF!</f>
        <v>#REF!</v>
      </c>
      <c r="N415" s="33" t="e">
        <f>#REF!</f>
        <v>#REF!</v>
      </c>
      <c r="O415" s="33">
        <v>0</v>
      </c>
      <c r="P415" s="33"/>
      <c r="Q415" s="33"/>
      <c r="R415" s="33"/>
      <c r="S415" s="33" t="e">
        <f t="shared" si="182"/>
        <v>#REF!</v>
      </c>
      <c r="AG415" s="52"/>
      <c r="AH415" s="52"/>
      <c r="AI415" s="52"/>
      <c r="AJ415" s="52"/>
      <c r="AM415" s="44"/>
      <c r="CB415" s="44">
        <f>SUM(CB412:CB413)</f>
        <v>0</v>
      </c>
    </row>
    <row r="416" spans="1:80" ht="27.75" hidden="1" customHeight="1" x14ac:dyDescent="0.25">
      <c r="A416" s="152"/>
      <c r="B416" s="145"/>
      <c r="C416" s="173"/>
      <c r="D416" s="168"/>
      <c r="E416" s="166"/>
      <c r="F416" s="165"/>
      <c r="G416" s="142" t="s">
        <v>330</v>
      </c>
      <c r="H416" s="154" t="s">
        <v>234</v>
      </c>
      <c r="I416" s="33">
        <v>0</v>
      </c>
      <c r="J416" s="33" t="e">
        <f>#REF!</f>
        <v>#REF!</v>
      </c>
      <c r="K416" s="33" t="e">
        <f>#REF!</f>
        <v>#REF!</v>
      </c>
      <c r="L416" s="33" t="e">
        <f>#REF!</f>
        <v>#REF!</v>
      </c>
      <c r="M416" s="33" t="e">
        <f>#REF!</f>
        <v>#REF!</v>
      </c>
      <c r="N416" s="33" t="e">
        <f>#REF!</f>
        <v>#REF!</v>
      </c>
      <c r="O416" s="33">
        <v>855.15</v>
      </c>
      <c r="P416" s="33"/>
      <c r="Q416" s="33"/>
      <c r="R416" s="33"/>
      <c r="S416" s="33" t="e">
        <f t="shared" si="182"/>
        <v>#REF!</v>
      </c>
      <c r="AG416" s="52"/>
      <c r="AH416" s="52"/>
      <c r="AI416" s="52"/>
      <c r="AJ416" s="52"/>
      <c r="AM416" s="44"/>
      <c r="AV416" s="44" t="e">
        <f>AV463+#REF!+#REF!</f>
        <v>#REF!</v>
      </c>
    </row>
    <row r="417" spans="1:79" ht="56.25" x14ac:dyDescent="0.25">
      <c r="A417" s="190"/>
      <c r="B417" s="177"/>
      <c r="C417" s="150" t="s">
        <v>224</v>
      </c>
      <c r="D417" s="168"/>
      <c r="E417" s="166"/>
      <c r="F417" s="165" t="s">
        <v>60</v>
      </c>
      <c r="G417" s="142" t="s">
        <v>330</v>
      </c>
      <c r="H417" s="200"/>
      <c r="I417" s="33">
        <v>0</v>
      </c>
      <c r="J417" s="33">
        <v>0</v>
      </c>
      <c r="K417" s="33">
        <v>0</v>
      </c>
      <c r="L417" s="33">
        <v>0</v>
      </c>
      <c r="M417" s="33">
        <v>0</v>
      </c>
      <c r="N417" s="33">
        <v>0</v>
      </c>
      <c r="O417" s="33">
        <f>O418+O419+O420</f>
        <v>0</v>
      </c>
      <c r="P417" s="33">
        <f>P418+P419+P420</f>
        <v>272868.28999999998</v>
      </c>
      <c r="Q417" s="33">
        <f>Q418+Q419+Q420</f>
        <v>262759.8</v>
      </c>
      <c r="R417" s="33">
        <f>R418+R419+R420</f>
        <v>252861.66000000003</v>
      </c>
      <c r="S417" s="33">
        <f t="shared" si="182"/>
        <v>788489.75</v>
      </c>
      <c r="AG417" s="52"/>
      <c r="AH417" s="52"/>
      <c r="AI417" s="52"/>
      <c r="AJ417" s="52"/>
      <c r="AM417" s="44"/>
      <c r="AO417" s="35">
        <f>0.04+0.09+0.18+0.2+0.32+0.66+0.9</f>
        <v>2.39</v>
      </c>
      <c r="AV417" s="44"/>
    </row>
    <row r="418" spans="1:79" ht="56.25" x14ac:dyDescent="0.25">
      <c r="A418" s="190"/>
      <c r="B418" s="177"/>
      <c r="C418" s="53" t="s">
        <v>178</v>
      </c>
      <c r="D418" s="168"/>
      <c r="E418" s="166"/>
      <c r="F418" s="165"/>
      <c r="G418" s="142" t="s">
        <v>330</v>
      </c>
      <c r="H418" s="200"/>
      <c r="I418" s="33">
        <v>0</v>
      </c>
      <c r="J418" s="33">
        <v>0</v>
      </c>
      <c r="K418" s="33">
        <v>0</v>
      </c>
      <c r="L418" s="33">
        <v>0</v>
      </c>
      <c r="M418" s="33">
        <v>0</v>
      </c>
      <c r="N418" s="33">
        <v>0</v>
      </c>
      <c r="O418" s="33">
        <f>O422+O426</f>
        <v>0</v>
      </c>
      <c r="P418" s="33">
        <f>P422+P426</f>
        <v>242905.96</v>
      </c>
      <c r="Q418" s="33">
        <f>Q422+Q426</f>
        <v>223471.9</v>
      </c>
      <c r="R418" s="33">
        <f>R422+R426</f>
        <v>205027.42</v>
      </c>
      <c r="S418" s="33">
        <f t="shared" si="182"/>
        <v>671405.28</v>
      </c>
      <c r="AG418" s="52"/>
      <c r="AH418" s="52"/>
      <c r="AI418" s="52"/>
      <c r="AJ418" s="52"/>
      <c r="AM418" s="44"/>
      <c r="AO418" s="35">
        <f>0.19+0.12+0.88+0.2+0.77+0.23</f>
        <v>2.39</v>
      </c>
      <c r="AV418" s="44"/>
    </row>
    <row r="419" spans="1:79" ht="37.5" x14ac:dyDescent="0.25">
      <c r="A419" s="190"/>
      <c r="B419" s="177"/>
      <c r="C419" s="53" t="s">
        <v>179</v>
      </c>
      <c r="D419" s="168"/>
      <c r="E419" s="166"/>
      <c r="F419" s="165"/>
      <c r="G419" s="142" t="s">
        <v>330</v>
      </c>
      <c r="H419" s="200"/>
      <c r="I419" s="33">
        <v>0</v>
      </c>
      <c r="J419" s="33">
        <v>0</v>
      </c>
      <c r="K419" s="33">
        <v>0</v>
      </c>
      <c r="L419" s="33">
        <v>0</v>
      </c>
      <c r="M419" s="33">
        <v>0</v>
      </c>
      <c r="N419" s="33">
        <v>0</v>
      </c>
      <c r="O419" s="33">
        <f t="shared" ref="O419:R420" si="184">O423+O427</f>
        <v>0</v>
      </c>
      <c r="P419" s="33">
        <f t="shared" si="184"/>
        <v>15504.64</v>
      </c>
      <c r="Q419" s="33">
        <f t="shared" si="184"/>
        <v>24830.21</v>
      </c>
      <c r="R419" s="33">
        <f t="shared" si="184"/>
        <v>33376.550000000003</v>
      </c>
      <c r="S419" s="33">
        <f t="shared" si="182"/>
        <v>73711.399999999994</v>
      </c>
      <c r="AG419" s="52"/>
      <c r="AH419" s="52"/>
      <c r="AI419" s="52"/>
      <c r="AJ419" s="52"/>
      <c r="AM419" s="44"/>
      <c r="AO419" s="35">
        <f>0.53+0.9+0.62+0.64+0.04+0.75+0.21</f>
        <v>3.6900000000000004</v>
      </c>
      <c r="AV419" s="44"/>
    </row>
    <row r="420" spans="1:79" ht="37.5" x14ac:dyDescent="0.25">
      <c r="A420" s="190"/>
      <c r="B420" s="177"/>
      <c r="C420" s="53" t="s">
        <v>37</v>
      </c>
      <c r="D420" s="168"/>
      <c r="E420" s="166"/>
      <c r="F420" s="165"/>
      <c r="G420" s="142" t="s">
        <v>330</v>
      </c>
      <c r="H420" s="200"/>
      <c r="I420" s="33">
        <v>0</v>
      </c>
      <c r="J420" s="33">
        <v>0</v>
      </c>
      <c r="K420" s="33">
        <v>0</v>
      </c>
      <c r="L420" s="33">
        <v>0</v>
      </c>
      <c r="M420" s="33">
        <v>0</v>
      </c>
      <c r="N420" s="33">
        <v>0</v>
      </c>
      <c r="O420" s="33">
        <f>O424+O428</f>
        <v>0</v>
      </c>
      <c r="P420" s="33">
        <f>P424+P428</f>
        <v>14457.69</v>
      </c>
      <c r="Q420" s="33">
        <f>Q424+Q428</f>
        <v>14457.69</v>
      </c>
      <c r="R420" s="33">
        <f t="shared" si="184"/>
        <v>14457.69</v>
      </c>
      <c r="S420" s="33">
        <f t="shared" si="182"/>
        <v>43373.07</v>
      </c>
      <c r="AG420" s="52"/>
      <c r="AH420" s="52"/>
      <c r="AI420" s="52"/>
      <c r="AJ420" s="52"/>
      <c r="AM420" s="44"/>
      <c r="AV420" s="44"/>
    </row>
    <row r="421" spans="1:79" x14ac:dyDescent="0.25">
      <c r="A421" s="144"/>
      <c r="B421" s="145"/>
      <c r="C421" s="151" t="s">
        <v>186</v>
      </c>
      <c r="D421" s="168" t="s">
        <v>322</v>
      </c>
      <c r="E421" s="166">
        <v>915</v>
      </c>
      <c r="F421" s="165" t="s">
        <v>60</v>
      </c>
      <c r="G421" s="142" t="s">
        <v>330</v>
      </c>
      <c r="H421" s="200" t="s">
        <v>263</v>
      </c>
      <c r="I421" s="33">
        <v>0</v>
      </c>
      <c r="J421" s="33">
        <v>0</v>
      </c>
      <c r="K421" s="33">
        <v>0</v>
      </c>
      <c r="L421" s="33">
        <v>0</v>
      </c>
      <c r="M421" s="33">
        <v>0</v>
      </c>
      <c r="N421" s="33">
        <v>0</v>
      </c>
      <c r="O421" s="33">
        <v>0</v>
      </c>
      <c r="P421" s="33">
        <f>P422+P423+P424</f>
        <v>272868.28999999998</v>
      </c>
      <c r="Q421" s="33">
        <f>Q422+Q423+Q424</f>
        <v>262759.8</v>
      </c>
      <c r="R421" s="33">
        <f>R422+R423+R424</f>
        <v>252861.66000000003</v>
      </c>
      <c r="S421" s="33">
        <f t="shared" ref="S421:S484" si="185">SUM(I421:R421)</f>
        <v>788489.75</v>
      </c>
      <c r="AG421" s="52"/>
      <c r="AH421" s="52"/>
      <c r="AI421" s="52"/>
      <c r="AJ421" s="52"/>
      <c r="AM421" s="44"/>
      <c r="AV421" s="44"/>
    </row>
    <row r="422" spans="1:79" ht="56.25" x14ac:dyDescent="0.25">
      <c r="A422" s="144"/>
      <c r="B422" s="145"/>
      <c r="C422" s="151" t="s">
        <v>178</v>
      </c>
      <c r="D422" s="168"/>
      <c r="E422" s="166"/>
      <c r="F422" s="165"/>
      <c r="G422" s="142" t="s">
        <v>330</v>
      </c>
      <c r="H422" s="200"/>
      <c r="I422" s="33">
        <v>0</v>
      </c>
      <c r="J422" s="33">
        <v>0</v>
      </c>
      <c r="K422" s="33">
        <v>0</v>
      </c>
      <c r="L422" s="33">
        <v>0</v>
      </c>
      <c r="M422" s="33">
        <v>0</v>
      </c>
      <c r="N422" s="33">
        <v>0</v>
      </c>
      <c r="O422" s="33">
        <v>0</v>
      </c>
      <c r="P422" s="33">
        <v>242905.96</v>
      </c>
      <c r="Q422" s="33">
        <v>223471.9</v>
      </c>
      <c r="R422" s="33">
        <v>205027.42</v>
      </c>
      <c r="S422" s="33">
        <f t="shared" si="185"/>
        <v>671405.28</v>
      </c>
      <c r="AG422" s="52"/>
      <c r="AH422" s="52"/>
      <c r="AI422" s="52"/>
      <c r="AJ422" s="52"/>
      <c r="AM422" s="44"/>
      <c r="AV422" s="44"/>
    </row>
    <row r="423" spans="1:79" ht="37.5" x14ac:dyDescent="0.25">
      <c r="A423" s="144"/>
      <c r="B423" s="145"/>
      <c r="C423" s="151" t="s">
        <v>179</v>
      </c>
      <c r="D423" s="168"/>
      <c r="E423" s="166"/>
      <c r="F423" s="165"/>
      <c r="G423" s="142" t="s">
        <v>330</v>
      </c>
      <c r="H423" s="200"/>
      <c r="I423" s="33">
        <v>0</v>
      </c>
      <c r="J423" s="33">
        <v>0</v>
      </c>
      <c r="K423" s="33">
        <v>0</v>
      </c>
      <c r="L423" s="33">
        <v>0</v>
      </c>
      <c r="M423" s="33">
        <v>0</v>
      </c>
      <c r="N423" s="33">
        <v>0</v>
      </c>
      <c r="O423" s="33">
        <v>0</v>
      </c>
      <c r="P423" s="33">
        <v>15504.64</v>
      </c>
      <c r="Q423" s="33">
        <v>24830.21</v>
      </c>
      <c r="R423" s="33">
        <v>33376.550000000003</v>
      </c>
      <c r="S423" s="33">
        <f t="shared" si="185"/>
        <v>73711.399999999994</v>
      </c>
      <c r="AG423" s="52"/>
      <c r="AH423" s="52"/>
      <c r="AI423" s="52"/>
      <c r="AJ423" s="52"/>
      <c r="AM423" s="44"/>
      <c r="AV423" s="44"/>
    </row>
    <row r="424" spans="1:79" ht="37.5" x14ac:dyDescent="0.25">
      <c r="A424" s="144"/>
      <c r="B424" s="145"/>
      <c r="C424" s="151" t="s">
        <v>37</v>
      </c>
      <c r="D424" s="168"/>
      <c r="E424" s="166"/>
      <c r="F424" s="165"/>
      <c r="G424" s="142" t="s">
        <v>330</v>
      </c>
      <c r="H424" s="200"/>
      <c r="I424" s="33">
        <v>0</v>
      </c>
      <c r="J424" s="33">
        <v>0</v>
      </c>
      <c r="K424" s="33">
        <v>0</v>
      </c>
      <c r="L424" s="33">
        <v>0</v>
      </c>
      <c r="M424" s="33">
        <v>0</v>
      </c>
      <c r="N424" s="33">
        <v>0</v>
      </c>
      <c r="O424" s="33">
        <v>0</v>
      </c>
      <c r="P424" s="33">
        <v>14457.69</v>
      </c>
      <c r="Q424" s="33">
        <v>14457.69</v>
      </c>
      <c r="R424" s="33">
        <v>14457.69</v>
      </c>
      <c r="S424" s="33">
        <f t="shared" si="185"/>
        <v>43373.07</v>
      </c>
      <c r="AG424" s="52"/>
      <c r="AH424" s="52"/>
      <c r="AI424" s="52"/>
      <c r="AJ424" s="52"/>
      <c r="AM424" s="44"/>
      <c r="AV424" s="44"/>
    </row>
    <row r="425" spans="1:79" ht="19.5" hidden="1" customHeight="1" x14ac:dyDescent="0.25">
      <c r="A425" s="190"/>
      <c r="B425" s="177"/>
      <c r="C425" s="151" t="s">
        <v>186</v>
      </c>
      <c r="D425" s="168" t="s">
        <v>261</v>
      </c>
      <c r="E425" s="166">
        <v>911</v>
      </c>
      <c r="F425" s="165" t="s">
        <v>60</v>
      </c>
      <c r="G425" s="142" t="s">
        <v>330</v>
      </c>
      <c r="H425" s="200" t="s">
        <v>264</v>
      </c>
      <c r="I425" s="33">
        <v>0</v>
      </c>
      <c r="J425" s="33">
        <v>0</v>
      </c>
      <c r="K425" s="33">
        <v>0</v>
      </c>
      <c r="L425" s="33">
        <v>0</v>
      </c>
      <c r="M425" s="33">
        <v>0</v>
      </c>
      <c r="N425" s="33">
        <v>0</v>
      </c>
      <c r="O425" s="33">
        <v>0</v>
      </c>
      <c r="P425" s="33">
        <f>SUM(P426:P428)</f>
        <v>0</v>
      </c>
      <c r="Q425" s="33">
        <f>SUM(Q426:Q428)</f>
        <v>0</v>
      </c>
      <c r="R425" s="33">
        <v>0</v>
      </c>
      <c r="S425" s="33">
        <f t="shared" si="185"/>
        <v>0</v>
      </c>
      <c r="AG425" s="52"/>
      <c r="AH425" s="52"/>
      <c r="AI425" s="52"/>
      <c r="AJ425" s="52"/>
      <c r="AM425" s="44"/>
      <c r="AV425" s="44"/>
    </row>
    <row r="426" spans="1:79" ht="37.5" hidden="1" customHeight="1" x14ac:dyDescent="0.25">
      <c r="A426" s="190"/>
      <c r="B426" s="177"/>
      <c r="C426" s="151" t="s">
        <v>178</v>
      </c>
      <c r="D426" s="168"/>
      <c r="E426" s="166"/>
      <c r="F426" s="165"/>
      <c r="G426" s="142" t="s">
        <v>330</v>
      </c>
      <c r="H426" s="200"/>
      <c r="I426" s="33">
        <v>0</v>
      </c>
      <c r="J426" s="33">
        <v>0</v>
      </c>
      <c r="K426" s="33">
        <v>0</v>
      </c>
      <c r="L426" s="33">
        <v>0</v>
      </c>
      <c r="M426" s="33">
        <v>0</v>
      </c>
      <c r="N426" s="33">
        <v>0</v>
      </c>
      <c r="O426" s="33">
        <v>0</v>
      </c>
      <c r="P426" s="33">
        <v>0</v>
      </c>
      <c r="Q426" s="33">
        <v>0</v>
      </c>
      <c r="R426" s="33">
        <v>0</v>
      </c>
      <c r="S426" s="33">
        <f t="shared" si="185"/>
        <v>0</v>
      </c>
      <c r="AG426" s="52"/>
      <c r="AH426" s="52"/>
      <c r="AI426" s="52"/>
      <c r="AJ426" s="52"/>
      <c r="AM426" s="44"/>
      <c r="AV426" s="44"/>
    </row>
    <row r="427" spans="1:79" ht="21" hidden="1" customHeight="1" x14ac:dyDescent="0.25">
      <c r="A427" s="190"/>
      <c r="B427" s="177"/>
      <c r="C427" s="151" t="s">
        <v>179</v>
      </c>
      <c r="D427" s="168"/>
      <c r="E427" s="166"/>
      <c r="F427" s="165"/>
      <c r="G427" s="142" t="s">
        <v>330</v>
      </c>
      <c r="H427" s="200"/>
      <c r="I427" s="33">
        <v>0</v>
      </c>
      <c r="J427" s="33">
        <v>0</v>
      </c>
      <c r="K427" s="33">
        <v>0</v>
      </c>
      <c r="L427" s="33">
        <v>0</v>
      </c>
      <c r="M427" s="33">
        <v>0</v>
      </c>
      <c r="N427" s="33">
        <v>0</v>
      </c>
      <c r="O427" s="33">
        <v>0</v>
      </c>
      <c r="P427" s="33">
        <v>0</v>
      </c>
      <c r="Q427" s="33">
        <v>0</v>
      </c>
      <c r="R427" s="33">
        <v>0</v>
      </c>
      <c r="S427" s="33">
        <f t="shared" si="185"/>
        <v>0</v>
      </c>
      <c r="AG427" s="52"/>
      <c r="AH427" s="52"/>
      <c r="AI427" s="52"/>
      <c r="AJ427" s="52"/>
      <c r="AM427" s="44"/>
      <c r="AV427" s="44"/>
    </row>
    <row r="428" spans="1:79" ht="37.5" hidden="1" x14ac:dyDescent="0.25">
      <c r="A428" s="190"/>
      <c r="B428" s="177"/>
      <c r="C428" s="151" t="s">
        <v>37</v>
      </c>
      <c r="D428" s="168"/>
      <c r="E428" s="166"/>
      <c r="F428" s="165"/>
      <c r="G428" s="142" t="s">
        <v>330</v>
      </c>
      <c r="H428" s="200"/>
      <c r="I428" s="33">
        <v>0</v>
      </c>
      <c r="J428" s="33">
        <v>0</v>
      </c>
      <c r="K428" s="33">
        <v>0</v>
      </c>
      <c r="L428" s="33">
        <v>0</v>
      </c>
      <c r="M428" s="33">
        <v>0</v>
      </c>
      <c r="N428" s="33">
        <v>0</v>
      </c>
      <c r="O428" s="33">
        <v>0</v>
      </c>
      <c r="P428" s="33">
        <v>0</v>
      </c>
      <c r="Q428" s="33">
        <v>0</v>
      </c>
      <c r="R428" s="33">
        <v>0</v>
      </c>
      <c r="S428" s="33">
        <f t="shared" si="185"/>
        <v>0</v>
      </c>
      <c r="AG428" s="52"/>
      <c r="AH428" s="52"/>
      <c r="AI428" s="52"/>
      <c r="AJ428" s="52"/>
      <c r="AM428" s="44"/>
      <c r="AV428" s="44"/>
    </row>
    <row r="429" spans="1:79" ht="56.25" x14ac:dyDescent="0.25">
      <c r="A429" s="190"/>
      <c r="B429" s="177"/>
      <c r="C429" s="53" t="s">
        <v>225</v>
      </c>
      <c r="D429" s="168" t="s">
        <v>13</v>
      </c>
      <c r="E429" s="165" t="s">
        <v>53</v>
      </c>
      <c r="F429" s="165" t="s">
        <v>60</v>
      </c>
      <c r="G429" s="142" t="s">
        <v>330</v>
      </c>
      <c r="H429" s="206" t="s">
        <v>74</v>
      </c>
      <c r="I429" s="33">
        <f t="shared" ref="I429:R429" si="186">I430+I431+I432</f>
        <v>0</v>
      </c>
      <c r="J429" s="33">
        <v>0</v>
      </c>
      <c r="K429" s="33">
        <v>0</v>
      </c>
      <c r="L429" s="33">
        <v>0</v>
      </c>
      <c r="M429" s="33">
        <v>0</v>
      </c>
      <c r="N429" s="33">
        <v>0</v>
      </c>
      <c r="O429" s="33">
        <f t="shared" si="186"/>
        <v>0</v>
      </c>
      <c r="P429" s="33">
        <f t="shared" si="186"/>
        <v>116943.55</v>
      </c>
      <c r="Q429" s="33">
        <f t="shared" si="186"/>
        <v>112611.34</v>
      </c>
      <c r="R429" s="33">
        <f t="shared" si="186"/>
        <v>108369.27999999998</v>
      </c>
      <c r="S429" s="33">
        <f t="shared" si="185"/>
        <v>337924.17</v>
      </c>
      <c r="T429" s="91">
        <v>148348.9</v>
      </c>
      <c r="AG429" s="33">
        <f>SUM(AG433:AG497)</f>
        <v>153981.10246000002</v>
      </c>
      <c r="AH429" s="33">
        <f>SUM(AH433:AH497)</f>
        <v>113392.28999999996</v>
      </c>
      <c r="AI429" s="33">
        <f>SUM(AI433:AI497)</f>
        <v>99897.930000000008</v>
      </c>
      <c r="AJ429" s="33">
        <f>SUM(AG429:AI429)</f>
        <v>367271.32246</v>
      </c>
      <c r="AM429" s="44">
        <f>I429-AG429</f>
        <v>-153981.10246000002</v>
      </c>
      <c r="AO429" s="35">
        <f>0.22+0.35+0.96+0.43+0.13+0.85+0.96</f>
        <v>3.9</v>
      </c>
      <c r="AP429" s="44">
        <f>137036.85-O429</f>
        <v>137036.85</v>
      </c>
      <c r="AV429" s="44">
        <f>S429+S368</f>
        <v>371108.49</v>
      </c>
    </row>
    <row r="430" spans="1:79" ht="56.25" x14ac:dyDescent="0.25">
      <c r="A430" s="190"/>
      <c r="B430" s="177"/>
      <c r="C430" s="151" t="s">
        <v>178</v>
      </c>
      <c r="D430" s="168"/>
      <c r="E430" s="165"/>
      <c r="F430" s="165"/>
      <c r="G430" s="142" t="s">
        <v>330</v>
      </c>
      <c r="H430" s="206"/>
      <c r="I430" s="33">
        <f>I434+I446+I458+I462+I474+I486+I498</f>
        <v>0</v>
      </c>
      <c r="J430" s="33">
        <v>0</v>
      </c>
      <c r="K430" s="33">
        <v>0</v>
      </c>
      <c r="L430" s="33">
        <v>0</v>
      </c>
      <c r="M430" s="33">
        <v>0</v>
      </c>
      <c r="N430" s="33">
        <v>0</v>
      </c>
      <c r="O430" s="33">
        <f t="shared" ref="O430:R432" si="187">O442+O446+O458+O462+O474+O486+O498</f>
        <v>0</v>
      </c>
      <c r="P430" s="33">
        <f t="shared" si="187"/>
        <v>104102.56000000001</v>
      </c>
      <c r="Q430" s="33">
        <f t="shared" si="187"/>
        <v>95773.67</v>
      </c>
      <c r="R430" s="33">
        <f t="shared" si="187"/>
        <v>87868.9</v>
      </c>
      <c r="S430" s="33">
        <f t="shared" si="185"/>
        <v>287745.13</v>
      </c>
      <c r="T430" s="52"/>
      <c r="AG430" s="33"/>
      <c r="AH430" s="33"/>
      <c r="AI430" s="33"/>
      <c r="AJ430" s="33"/>
      <c r="AM430" s="44"/>
      <c r="AO430" s="35">
        <f>0.98+0.07+0.83+0.34+0.76+0.67</f>
        <v>3.6499999999999995</v>
      </c>
      <c r="AP430" s="44">
        <f>124298.67-O430</f>
        <v>124298.67</v>
      </c>
      <c r="CA430" s="35">
        <v>184476.95</v>
      </c>
    </row>
    <row r="431" spans="1:79" ht="37.5" x14ac:dyDescent="0.25">
      <c r="A431" s="190"/>
      <c r="B431" s="177"/>
      <c r="C431" s="151" t="s">
        <v>179</v>
      </c>
      <c r="D431" s="168"/>
      <c r="E431" s="165"/>
      <c r="F431" s="165"/>
      <c r="G431" s="142" t="s">
        <v>330</v>
      </c>
      <c r="H431" s="206"/>
      <c r="I431" s="33">
        <f>I435+I447+I459+I463+I475+I487+I499</f>
        <v>0</v>
      </c>
      <c r="J431" s="33">
        <v>0</v>
      </c>
      <c r="K431" s="33">
        <v>0</v>
      </c>
      <c r="L431" s="33">
        <v>0</v>
      </c>
      <c r="M431" s="33">
        <v>0</v>
      </c>
      <c r="N431" s="33">
        <v>0</v>
      </c>
      <c r="O431" s="33">
        <f t="shared" si="187"/>
        <v>0</v>
      </c>
      <c r="P431" s="33">
        <f t="shared" si="187"/>
        <v>6644.84</v>
      </c>
      <c r="Q431" s="33">
        <f t="shared" si="187"/>
        <v>10641.52</v>
      </c>
      <c r="R431" s="33">
        <f t="shared" si="187"/>
        <v>14304.23</v>
      </c>
      <c r="S431" s="33">
        <f t="shared" si="185"/>
        <v>31590.59</v>
      </c>
      <c r="T431" s="52"/>
      <c r="AG431" s="33"/>
      <c r="AH431" s="33"/>
      <c r="AI431" s="33"/>
      <c r="AJ431" s="33"/>
      <c r="AM431" s="44"/>
      <c r="AP431" s="44">
        <f>6542.03-O431</f>
        <v>6542.03</v>
      </c>
      <c r="CA431" s="35">
        <v>128195.85</v>
      </c>
    </row>
    <row r="432" spans="1:79" ht="37.5" x14ac:dyDescent="0.25">
      <c r="A432" s="190"/>
      <c r="B432" s="177"/>
      <c r="C432" s="151" t="s">
        <v>37</v>
      </c>
      <c r="D432" s="168"/>
      <c r="E432" s="165"/>
      <c r="F432" s="165"/>
      <c r="G432" s="142" t="s">
        <v>330</v>
      </c>
      <c r="H432" s="206"/>
      <c r="I432" s="33">
        <f>I436+I448+I460+I464+I476+I488+I500</f>
        <v>0</v>
      </c>
      <c r="J432" s="33">
        <v>0</v>
      </c>
      <c r="K432" s="33">
        <v>0</v>
      </c>
      <c r="L432" s="33">
        <v>0</v>
      </c>
      <c r="M432" s="33">
        <v>0</v>
      </c>
      <c r="N432" s="33">
        <v>0</v>
      </c>
      <c r="O432" s="33">
        <f t="shared" si="187"/>
        <v>0</v>
      </c>
      <c r="P432" s="33">
        <f t="shared" si="187"/>
        <v>6196.15</v>
      </c>
      <c r="Q432" s="33">
        <f t="shared" si="187"/>
        <v>6196.15</v>
      </c>
      <c r="R432" s="33">
        <f t="shared" si="187"/>
        <v>6196.15</v>
      </c>
      <c r="S432" s="33">
        <f t="shared" si="185"/>
        <v>18588.449999999997</v>
      </c>
      <c r="T432" s="52"/>
      <c r="AG432" s="33"/>
      <c r="AH432" s="33"/>
      <c r="AI432" s="33"/>
      <c r="AJ432" s="33"/>
      <c r="AM432" s="44"/>
      <c r="AP432" s="44">
        <f>6196.15-O432</f>
        <v>6196.15</v>
      </c>
    </row>
    <row r="433" spans="1:79" ht="39" hidden="1" customHeight="1" x14ac:dyDescent="0.25">
      <c r="A433" s="152"/>
      <c r="B433" s="145"/>
      <c r="C433" s="151" t="s">
        <v>186</v>
      </c>
      <c r="D433" s="168" t="s">
        <v>23</v>
      </c>
      <c r="E433" s="166">
        <v>919</v>
      </c>
      <c r="F433" s="165" t="s">
        <v>60</v>
      </c>
      <c r="G433" s="142" t="s">
        <v>330</v>
      </c>
      <c r="H433" s="206" t="s">
        <v>222</v>
      </c>
      <c r="I433" s="33">
        <f t="shared" ref="I433:N433" si="188">I434+I435+I436</f>
        <v>0</v>
      </c>
      <c r="J433" s="33">
        <f t="shared" si="188"/>
        <v>0</v>
      </c>
      <c r="K433" s="33">
        <f t="shared" si="188"/>
        <v>0</v>
      </c>
      <c r="L433" s="33">
        <f t="shared" si="188"/>
        <v>0</v>
      </c>
      <c r="M433" s="33">
        <f t="shared" si="188"/>
        <v>0</v>
      </c>
      <c r="N433" s="33">
        <f t="shared" si="188"/>
        <v>0</v>
      </c>
      <c r="O433" s="33"/>
      <c r="P433" s="33"/>
      <c r="Q433" s="33"/>
      <c r="R433" s="33"/>
      <c r="S433" s="33">
        <f t="shared" si="185"/>
        <v>0</v>
      </c>
      <c r="AG433" s="33">
        <f>20624.03138+3063.67</f>
        <v>23687.701379999999</v>
      </c>
      <c r="AH433" s="33">
        <v>2450.94</v>
      </c>
      <c r="AI433" s="33">
        <v>3676.4</v>
      </c>
      <c r="AJ433" s="33">
        <f>SUM(AG433:AI433)</f>
        <v>29815.041379999999</v>
      </c>
      <c r="AM433" s="44">
        <f>I433-AG433</f>
        <v>-23687.701379999999</v>
      </c>
      <c r="CA433" s="33">
        <f>CA434+CA435+CA436</f>
        <v>0</v>
      </c>
    </row>
    <row r="434" spans="1:79" ht="26.25" hidden="1" customHeight="1" x14ac:dyDescent="0.25">
      <c r="A434" s="152"/>
      <c r="B434" s="145"/>
      <c r="C434" s="151" t="s">
        <v>178</v>
      </c>
      <c r="D434" s="168"/>
      <c r="E434" s="166"/>
      <c r="F434" s="165"/>
      <c r="G434" s="142" t="s">
        <v>330</v>
      </c>
      <c r="H434" s="207"/>
      <c r="I434" s="33">
        <f t="shared" ref="I434:N436" si="189">I438+I442</f>
        <v>0</v>
      </c>
      <c r="J434" s="33">
        <f t="shared" si="189"/>
        <v>0</v>
      </c>
      <c r="K434" s="33">
        <f t="shared" si="189"/>
        <v>0</v>
      </c>
      <c r="L434" s="33">
        <f t="shared" si="189"/>
        <v>0</v>
      </c>
      <c r="M434" s="33">
        <f t="shared" si="189"/>
        <v>0</v>
      </c>
      <c r="N434" s="33">
        <f t="shared" si="189"/>
        <v>0</v>
      </c>
      <c r="O434" s="33"/>
      <c r="P434" s="33"/>
      <c r="Q434" s="33"/>
      <c r="R434" s="33"/>
      <c r="S434" s="33">
        <f t="shared" si="185"/>
        <v>0</v>
      </c>
      <c r="AG434" s="33"/>
      <c r="AH434" s="33"/>
      <c r="AI434" s="33"/>
      <c r="AJ434" s="33"/>
      <c r="AM434" s="44"/>
    </row>
    <row r="435" spans="1:79" ht="26.25" hidden="1" customHeight="1" x14ac:dyDescent="0.25">
      <c r="A435" s="152"/>
      <c r="B435" s="145"/>
      <c r="C435" s="151" t="s">
        <v>179</v>
      </c>
      <c r="D435" s="168"/>
      <c r="E435" s="166"/>
      <c r="F435" s="165"/>
      <c r="G435" s="142" t="s">
        <v>330</v>
      </c>
      <c r="H435" s="207"/>
      <c r="I435" s="33">
        <f t="shared" si="189"/>
        <v>0</v>
      </c>
      <c r="J435" s="33">
        <f t="shared" si="189"/>
        <v>0</v>
      </c>
      <c r="K435" s="33">
        <f t="shared" si="189"/>
        <v>0</v>
      </c>
      <c r="L435" s="33">
        <f t="shared" si="189"/>
        <v>0</v>
      </c>
      <c r="M435" s="33">
        <f t="shared" si="189"/>
        <v>0</v>
      </c>
      <c r="N435" s="33">
        <f t="shared" si="189"/>
        <v>0</v>
      </c>
      <c r="O435" s="33"/>
      <c r="P435" s="33"/>
      <c r="Q435" s="33"/>
      <c r="R435" s="33"/>
      <c r="S435" s="33">
        <f t="shared" si="185"/>
        <v>0</v>
      </c>
      <c r="AG435" s="33"/>
      <c r="AH435" s="33"/>
      <c r="AI435" s="33"/>
      <c r="AJ435" s="33"/>
      <c r="AM435" s="44"/>
    </row>
    <row r="436" spans="1:79" ht="26.25" hidden="1" customHeight="1" x14ac:dyDescent="0.25">
      <c r="A436" s="152"/>
      <c r="B436" s="145"/>
      <c r="C436" s="151" t="s">
        <v>37</v>
      </c>
      <c r="D436" s="168"/>
      <c r="E436" s="166"/>
      <c r="F436" s="165"/>
      <c r="G436" s="142" t="s">
        <v>330</v>
      </c>
      <c r="H436" s="207"/>
      <c r="I436" s="33">
        <f t="shared" si="189"/>
        <v>0</v>
      </c>
      <c r="J436" s="33">
        <f t="shared" si="189"/>
        <v>0</v>
      </c>
      <c r="K436" s="33">
        <f t="shared" si="189"/>
        <v>0</v>
      </c>
      <c r="L436" s="33">
        <f t="shared" si="189"/>
        <v>0</v>
      </c>
      <c r="M436" s="33">
        <f t="shared" si="189"/>
        <v>0</v>
      </c>
      <c r="N436" s="33">
        <f t="shared" si="189"/>
        <v>0</v>
      </c>
      <c r="O436" s="33"/>
      <c r="P436" s="33"/>
      <c r="Q436" s="33"/>
      <c r="R436" s="33"/>
      <c r="S436" s="33">
        <f t="shared" si="185"/>
        <v>0</v>
      </c>
      <c r="AG436" s="33"/>
      <c r="AH436" s="33"/>
      <c r="AI436" s="33"/>
      <c r="AJ436" s="33"/>
      <c r="AM436" s="44"/>
    </row>
    <row r="437" spans="1:79" ht="26.25" hidden="1" customHeight="1" x14ac:dyDescent="0.25">
      <c r="A437" s="152"/>
      <c r="B437" s="145"/>
      <c r="C437" s="151" t="s">
        <v>186</v>
      </c>
      <c r="D437" s="168"/>
      <c r="E437" s="166"/>
      <c r="F437" s="165"/>
      <c r="G437" s="142" t="s">
        <v>330</v>
      </c>
      <c r="H437" s="206">
        <v>631</v>
      </c>
      <c r="I437" s="33">
        <f t="shared" ref="I437:N437" si="190">I438+I439+I440</f>
        <v>0</v>
      </c>
      <c r="J437" s="33">
        <f t="shared" si="190"/>
        <v>0</v>
      </c>
      <c r="K437" s="33">
        <f t="shared" si="190"/>
        <v>0</v>
      </c>
      <c r="L437" s="33">
        <f t="shared" si="190"/>
        <v>0</v>
      </c>
      <c r="M437" s="33">
        <f t="shared" si="190"/>
        <v>0</v>
      </c>
      <c r="N437" s="33">
        <f t="shared" si="190"/>
        <v>0</v>
      </c>
      <c r="O437" s="33"/>
      <c r="P437" s="33"/>
      <c r="Q437" s="33"/>
      <c r="R437" s="33"/>
      <c r="S437" s="33">
        <f t="shared" si="185"/>
        <v>0</v>
      </c>
      <c r="AG437" s="33"/>
      <c r="AH437" s="33"/>
      <c r="AI437" s="33"/>
      <c r="AJ437" s="33"/>
      <c r="AM437" s="44"/>
    </row>
    <row r="438" spans="1:79" ht="26.25" hidden="1" customHeight="1" x14ac:dyDescent="0.25">
      <c r="A438" s="152"/>
      <c r="B438" s="145"/>
      <c r="C438" s="151" t="s">
        <v>178</v>
      </c>
      <c r="D438" s="168"/>
      <c r="E438" s="166"/>
      <c r="F438" s="165"/>
      <c r="G438" s="142" t="s">
        <v>330</v>
      </c>
      <c r="H438" s="206"/>
      <c r="I438" s="33">
        <v>0</v>
      </c>
      <c r="J438" s="33">
        <v>0</v>
      </c>
      <c r="K438" s="33">
        <v>0</v>
      </c>
      <c r="L438" s="33">
        <v>0</v>
      </c>
      <c r="M438" s="33">
        <v>0</v>
      </c>
      <c r="N438" s="33">
        <v>0</v>
      </c>
      <c r="O438" s="33"/>
      <c r="P438" s="33"/>
      <c r="Q438" s="33"/>
      <c r="R438" s="33"/>
      <c r="S438" s="33">
        <f t="shared" si="185"/>
        <v>0</v>
      </c>
      <c r="AG438" s="33"/>
      <c r="AH438" s="33"/>
      <c r="AI438" s="33"/>
      <c r="AJ438" s="33"/>
      <c r="AM438" s="44"/>
    </row>
    <row r="439" spans="1:79" ht="26.25" hidden="1" customHeight="1" x14ac:dyDescent="0.25">
      <c r="A439" s="152"/>
      <c r="B439" s="145"/>
      <c r="C439" s="151" t="s">
        <v>179</v>
      </c>
      <c r="D439" s="168"/>
      <c r="E439" s="166"/>
      <c r="F439" s="165"/>
      <c r="G439" s="142" t="s">
        <v>330</v>
      </c>
      <c r="H439" s="206"/>
      <c r="I439" s="33">
        <v>0</v>
      </c>
      <c r="J439" s="33">
        <v>0</v>
      </c>
      <c r="K439" s="33">
        <v>0</v>
      </c>
      <c r="L439" s="33">
        <v>0</v>
      </c>
      <c r="M439" s="33">
        <v>0</v>
      </c>
      <c r="N439" s="33">
        <v>0</v>
      </c>
      <c r="O439" s="33"/>
      <c r="P439" s="33"/>
      <c r="Q439" s="33"/>
      <c r="R439" s="33"/>
      <c r="S439" s="33">
        <f t="shared" si="185"/>
        <v>0</v>
      </c>
      <c r="AG439" s="33"/>
      <c r="AH439" s="33"/>
      <c r="AI439" s="33"/>
      <c r="AJ439" s="33"/>
      <c r="AM439" s="44"/>
    </row>
    <row r="440" spans="1:79" ht="26.25" hidden="1" customHeight="1" x14ac:dyDescent="0.25">
      <c r="A440" s="152"/>
      <c r="B440" s="145"/>
      <c r="C440" s="151" t="s">
        <v>37</v>
      </c>
      <c r="D440" s="168"/>
      <c r="E440" s="166"/>
      <c r="F440" s="165"/>
      <c r="G440" s="142" t="s">
        <v>330</v>
      </c>
      <c r="H440" s="206"/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33">
        <v>0</v>
      </c>
      <c r="O440" s="33"/>
      <c r="P440" s="33"/>
      <c r="Q440" s="33"/>
      <c r="R440" s="33"/>
      <c r="S440" s="33">
        <f t="shared" si="185"/>
        <v>0</v>
      </c>
      <c r="AG440" s="33"/>
      <c r="AH440" s="33"/>
      <c r="AI440" s="33"/>
      <c r="AJ440" s="33"/>
      <c r="AM440" s="44"/>
    </row>
    <row r="441" spans="1:79" x14ac:dyDescent="0.3">
      <c r="A441" s="190"/>
      <c r="B441" s="177"/>
      <c r="C441" s="151" t="s">
        <v>186</v>
      </c>
      <c r="D441" s="168"/>
      <c r="E441" s="166"/>
      <c r="F441" s="165"/>
      <c r="G441" s="142" t="s">
        <v>330</v>
      </c>
      <c r="H441" s="206">
        <v>810</v>
      </c>
      <c r="I441" s="33">
        <f>I442+I443+I444</f>
        <v>0</v>
      </c>
      <c r="J441" s="33">
        <v>0</v>
      </c>
      <c r="K441" s="33">
        <v>0</v>
      </c>
      <c r="L441" s="33">
        <v>0</v>
      </c>
      <c r="M441" s="33">
        <v>0</v>
      </c>
      <c r="N441" s="33">
        <v>0</v>
      </c>
      <c r="O441" s="33">
        <f>O442+O443+O444</f>
        <v>0</v>
      </c>
      <c r="P441" s="138">
        <f>P442+P443+P444</f>
        <v>16706.22</v>
      </c>
      <c r="Q441" s="138">
        <f>Q442+Q443+Q444</f>
        <v>16087.33</v>
      </c>
      <c r="R441" s="138">
        <f>R442+R443+R444</f>
        <v>15481.33</v>
      </c>
      <c r="S441" s="33">
        <f>SUM(I441:R441)</f>
        <v>48274.880000000005</v>
      </c>
      <c r="AG441" s="33"/>
      <c r="AH441" s="33"/>
      <c r="AI441" s="33"/>
      <c r="AJ441" s="33"/>
      <c r="AM441" s="44"/>
      <c r="AO441" s="123">
        <f>0.66+0.03+0.45+0.43+0.9+0.67+0.43+0.43</f>
        <v>4</v>
      </c>
      <c r="AV441" s="44">
        <f>I441+I438</f>
        <v>0</v>
      </c>
      <c r="CA441" s="39">
        <v>1000</v>
      </c>
    </row>
    <row r="442" spans="1:79" ht="56.25" x14ac:dyDescent="0.3">
      <c r="A442" s="190"/>
      <c r="B442" s="177"/>
      <c r="C442" s="151" t="s">
        <v>178</v>
      </c>
      <c r="D442" s="168"/>
      <c r="E442" s="166"/>
      <c r="F442" s="165"/>
      <c r="G442" s="142" t="s">
        <v>330</v>
      </c>
      <c r="H442" s="206"/>
      <c r="I442" s="33">
        <v>0</v>
      </c>
      <c r="J442" s="77">
        <v>0</v>
      </c>
      <c r="K442" s="77">
        <v>0</v>
      </c>
      <c r="L442" s="77">
        <v>0</v>
      </c>
      <c r="M442" s="77">
        <v>0</v>
      </c>
      <c r="N442" s="77">
        <v>0</v>
      </c>
      <c r="O442" s="33">
        <v>0</v>
      </c>
      <c r="P442" s="75">
        <v>14871.79</v>
      </c>
      <c r="Q442" s="75">
        <v>13681.95</v>
      </c>
      <c r="R442" s="75">
        <v>12552.7</v>
      </c>
      <c r="S442" s="33">
        <f t="shared" si="185"/>
        <v>41106.44</v>
      </c>
      <c r="AG442" s="75">
        <v>16536.439999999999</v>
      </c>
      <c r="AH442" s="76">
        <v>17240.849999999999</v>
      </c>
      <c r="AI442" s="33"/>
      <c r="AJ442" s="33"/>
      <c r="AM442" s="44"/>
      <c r="AO442" s="35">
        <f>0.8+0.51+0.13+0.18+0.76+0.32</f>
        <v>2.6999999999999997</v>
      </c>
      <c r="AP442" s="35">
        <v>16025.448179999999</v>
      </c>
      <c r="AV442" s="44"/>
    </row>
    <row r="443" spans="1:79" ht="37.5" x14ac:dyDescent="0.3">
      <c r="A443" s="190"/>
      <c r="B443" s="177"/>
      <c r="C443" s="151" t="s">
        <v>179</v>
      </c>
      <c r="D443" s="168"/>
      <c r="E443" s="166"/>
      <c r="F443" s="165"/>
      <c r="G443" s="142" t="s">
        <v>330</v>
      </c>
      <c r="H443" s="206"/>
      <c r="I443" s="33">
        <v>0</v>
      </c>
      <c r="J443" s="77">
        <v>0</v>
      </c>
      <c r="K443" s="77">
        <v>0</v>
      </c>
      <c r="L443" s="77">
        <v>0</v>
      </c>
      <c r="M443" s="77">
        <v>0</v>
      </c>
      <c r="N443" s="77">
        <v>0</v>
      </c>
      <c r="O443" s="33">
        <v>0</v>
      </c>
      <c r="P443" s="77">
        <v>949.26</v>
      </c>
      <c r="Q443" s="77">
        <v>1520.21</v>
      </c>
      <c r="R443" s="77">
        <v>2043.46</v>
      </c>
      <c r="S443" s="33">
        <f t="shared" si="185"/>
        <v>4512.93</v>
      </c>
      <c r="AG443" s="76">
        <v>870.34</v>
      </c>
      <c r="AH443" s="76">
        <v>907.41</v>
      </c>
      <c r="AI443" s="33"/>
      <c r="AJ443" s="33"/>
      <c r="AM443" s="44"/>
      <c r="AO443" s="35">
        <f>0.36+0.92+0.8+0.69+0.57+0.38+0.26+0.26</f>
        <v>4.2399999999999993</v>
      </c>
      <c r="AP443" s="35">
        <v>843.44464000000005</v>
      </c>
      <c r="AV443" s="44">
        <f>I443+I439</f>
        <v>0</v>
      </c>
    </row>
    <row r="444" spans="1:79" ht="37.5" x14ac:dyDescent="0.3">
      <c r="A444" s="190"/>
      <c r="B444" s="177"/>
      <c r="C444" s="151" t="s">
        <v>37</v>
      </c>
      <c r="D444" s="168"/>
      <c r="E444" s="166"/>
      <c r="F444" s="165"/>
      <c r="G444" s="142" t="s">
        <v>330</v>
      </c>
      <c r="H444" s="206"/>
      <c r="I444" s="33">
        <v>0</v>
      </c>
      <c r="J444" s="33">
        <v>0</v>
      </c>
      <c r="K444" s="33">
        <v>0</v>
      </c>
      <c r="L444" s="33">
        <v>0</v>
      </c>
      <c r="M444" s="33">
        <v>0</v>
      </c>
      <c r="N444" s="33">
        <v>0</v>
      </c>
      <c r="O444" s="33">
        <v>0</v>
      </c>
      <c r="P444" s="75">
        <v>885.17</v>
      </c>
      <c r="Q444" s="75">
        <v>885.17</v>
      </c>
      <c r="R444" s="75">
        <v>885.17</v>
      </c>
      <c r="S444" s="33">
        <f t="shared" si="185"/>
        <v>2655.5099999999998</v>
      </c>
      <c r="AG444" s="76">
        <v>820.21</v>
      </c>
      <c r="AH444" s="76">
        <v>855.15</v>
      </c>
      <c r="AI444" s="33"/>
      <c r="AJ444" s="33"/>
      <c r="AM444" s="44"/>
      <c r="AO444" s="35">
        <f>0.5+0.6+0.52+0.56+0.57+0.97+0.17+0.17</f>
        <v>4.0599999999999996</v>
      </c>
      <c r="AP444" s="35">
        <v>908.55174</v>
      </c>
      <c r="AV444" s="44">
        <f>I444+I440</f>
        <v>0</v>
      </c>
      <c r="CA444" s="50">
        <v>143.32</v>
      </c>
    </row>
    <row r="445" spans="1:79" x14ac:dyDescent="0.25">
      <c r="A445" s="190"/>
      <c r="B445" s="177"/>
      <c r="C445" s="151" t="s">
        <v>186</v>
      </c>
      <c r="D445" s="168" t="s">
        <v>24</v>
      </c>
      <c r="E445" s="166">
        <v>922</v>
      </c>
      <c r="F445" s="165" t="s">
        <v>60</v>
      </c>
      <c r="G445" s="142" t="s">
        <v>330</v>
      </c>
      <c r="H445" s="208">
        <v>810</v>
      </c>
      <c r="I445" s="33">
        <f>I446+I447+I448</f>
        <v>0</v>
      </c>
      <c r="J445" s="33">
        <v>0</v>
      </c>
      <c r="K445" s="33">
        <v>0</v>
      </c>
      <c r="L445" s="33">
        <v>0</v>
      </c>
      <c r="M445" s="33">
        <v>0</v>
      </c>
      <c r="N445" s="33">
        <v>0</v>
      </c>
      <c r="O445" s="33">
        <v>0</v>
      </c>
      <c r="P445" s="138">
        <f>P446+P447+P448</f>
        <v>16706.22</v>
      </c>
      <c r="Q445" s="138">
        <f>Q446+Q447+Q448</f>
        <v>16087.33</v>
      </c>
      <c r="R445" s="138">
        <f>R446+R447+R448</f>
        <v>15481.33</v>
      </c>
      <c r="S445" s="33">
        <f t="shared" si="185"/>
        <v>48274.880000000005</v>
      </c>
      <c r="AG445" s="33"/>
      <c r="AH445" s="33"/>
      <c r="AI445" s="33"/>
      <c r="AJ445" s="33"/>
      <c r="AM445" s="44"/>
      <c r="AV445" s="160"/>
      <c r="CA445" s="50">
        <v>168.83</v>
      </c>
    </row>
    <row r="446" spans="1:79" ht="56.25" x14ac:dyDescent="0.25">
      <c r="A446" s="190"/>
      <c r="B446" s="177"/>
      <c r="C446" s="151" t="s">
        <v>178</v>
      </c>
      <c r="D446" s="168"/>
      <c r="E446" s="166"/>
      <c r="F446" s="165"/>
      <c r="G446" s="142" t="s">
        <v>330</v>
      </c>
      <c r="H446" s="208"/>
      <c r="I446" s="33">
        <f>I450+I454</f>
        <v>0</v>
      </c>
      <c r="J446" s="33">
        <v>0</v>
      </c>
      <c r="K446" s="33">
        <v>0</v>
      </c>
      <c r="L446" s="33">
        <v>0</v>
      </c>
      <c r="M446" s="33">
        <v>0</v>
      </c>
      <c r="N446" s="33">
        <v>0</v>
      </c>
      <c r="O446" s="33">
        <v>0</v>
      </c>
      <c r="P446" s="33">
        <v>14871.79</v>
      </c>
      <c r="Q446" s="33">
        <v>13681.95</v>
      </c>
      <c r="R446" s="33">
        <v>12552.7</v>
      </c>
      <c r="S446" s="33">
        <f t="shared" si="185"/>
        <v>41106.44</v>
      </c>
      <c r="AG446" s="33"/>
      <c r="AH446" s="33"/>
      <c r="AI446" s="33"/>
      <c r="AJ446" s="33"/>
      <c r="AM446" s="44"/>
      <c r="AV446" s="160"/>
      <c r="CA446" s="50">
        <v>212.54</v>
      </c>
    </row>
    <row r="447" spans="1:79" ht="37.5" x14ac:dyDescent="0.25">
      <c r="A447" s="190"/>
      <c r="B447" s="177"/>
      <c r="C447" s="151" t="s">
        <v>179</v>
      </c>
      <c r="D447" s="168"/>
      <c r="E447" s="166"/>
      <c r="F447" s="165"/>
      <c r="G447" s="142" t="s">
        <v>330</v>
      </c>
      <c r="H447" s="208"/>
      <c r="I447" s="33">
        <f>I451+I455</f>
        <v>0</v>
      </c>
      <c r="J447" s="33">
        <v>0</v>
      </c>
      <c r="K447" s="33">
        <v>0</v>
      </c>
      <c r="L447" s="33">
        <v>0</v>
      </c>
      <c r="M447" s="33">
        <v>0</v>
      </c>
      <c r="N447" s="33">
        <v>0</v>
      </c>
      <c r="O447" s="33">
        <v>0</v>
      </c>
      <c r="P447" s="33">
        <v>949.26</v>
      </c>
      <c r="Q447" s="33">
        <v>1520.21</v>
      </c>
      <c r="R447" s="33">
        <v>2043.46</v>
      </c>
      <c r="S447" s="33">
        <f t="shared" si="185"/>
        <v>4512.93</v>
      </c>
      <c r="AG447" s="33"/>
      <c r="AH447" s="33"/>
      <c r="AI447" s="33"/>
      <c r="AJ447" s="33"/>
      <c r="AM447" s="44"/>
      <c r="AV447" s="160"/>
      <c r="CA447" s="50">
        <v>234.95</v>
      </c>
    </row>
    <row r="448" spans="1:79" ht="37.5" x14ac:dyDescent="0.25">
      <c r="A448" s="190"/>
      <c r="B448" s="177"/>
      <c r="C448" s="151" t="s">
        <v>37</v>
      </c>
      <c r="D448" s="168"/>
      <c r="E448" s="166"/>
      <c r="F448" s="165"/>
      <c r="G448" s="142" t="s">
        <v>330</v>
      </c>
      <c r="H448" s="208"/>
      <c r="I448" s="33">
        <f>I452+I456</f>
        <v>0</v>
      </c>
      <c r="J448" s="33">
        <v>0</v>
      </c>
      <c r="K448" s="33">
        <v>0</v>
      </c>
      <c r="L448" s="33">
        <v>0</v>
      </c>
      <c r="M448" s="33">
        <v>0</v>
      </c>
      <c r="N448" s="33">
        <v>0</v>
      </c>
      <c r="O448" s="33">
        <v>0</v>
      </c>
      <c r="P448" s="33">
        <v>885.17</v>
      </c>
      <c r="Q448" s="33">
        <v>885.17</v>
      </c>
      <c r="R448" s="33">
        <v>885.17</v>
      </c>
      <c r="S448" s="33">
        <f t="shared" si="185"/>
        <v>2655.5099999999998</v>
      </c>
      <c r="AG448" s="33"/>
      <c r="AH448" s="33"/>
      <c r="AI448" s="33"/>
      <c r="AJ448" s="33"/>
      <c r="AM448" s="44"/>
      <c r="AV448" s="161"/>
      <c r="CA448" s="50">
        <v>202.08</v>
      </c>
    </row>
    <row r="449" spans="1:79" ht="37.5" hidden="1" customHeight="1" x14ac:dyDescent="0.25">
      <c r="A449" s="152"/>
      <c r="B449" s="145"/>
      <c r="C449" s="151" t="s">
        <v>186</v>
      </c>
      <c r="D449" s="168"/>
      <c r="E449" s="166"/>
      <c r="F449" s="165"/>
      <c r="G449" s="142" t="s">
        <v>330</v>
      </c>
      <c r="H449" s="206">
        <v>631</v>
      </c>
      <c r="I449" s="33">
        <f t="shared" ref="I449:N449" si="191">I450+I451+I452</f>
        <v>0</v>
      </c>
      <c r="J449" s="33">
        <f t="shared" si="191"/>
        <v>4072.4400000000005</v>
      </c>
      <c r="K449" s="33">
        <f t="shared" si="191"/>
        <v>4072.4400000000005</v>
      </c>
      <c r="L449" s="33">
        <f t="shared" si="191"/>
        <v>4072.4400000000005</v>
      </c>
      <c r="M449" s="33">
        <f t="shared" si="191"/>
        <v>4072.4400000000005</v>
      </c>
      <c r="N449" s="33">
        <f t="shared" si="191"/>
        <v>4072.4400000000005</v>
      </c>
      <c r="O449" s="33">
        <v>0</v>
      </c>
      <c r="P449" s="33"/>
      <c r="Q449" s="33"/>
      <c r="R449" s="33"/>
      <c r="S449" s="33">
        <f t="shared" si="185"/>
        <v>20362.200000000004</v>
      </c>
      <c r="AG449" s="33"/>
      <c r="AH449" s="33"/>
      <c r="AI449" s="33"/>
      <c r="AJ449" s="33"/>
      <c r="AM449" s="44"/>
      <c r="AV449" s="54"/>
      <c r="CA449" s="50">
        <v>454.33</v>
      </c>
    </row>
    <row r="450" spans="1:79" ht="29.25" hidden="1" customHeight="1" x14ac:dyDescent="0.25">
      <c r="A450" s="152"/>
      <c r="B450" s="145"/>
      <c r="C450" s="151" t="s">
        <v>178</v>
      </c>
      <c r="D450" s="168"/>
      <c r="E450" s="166"/>
      <c r="F450" s="165"/>
      <c r="G450" s="142" t="s">
        <v>330</v>
      </c>
      <c r="H450" s="206"/>
      <c r="I450" s="33">
        <v>0</v>
      </c>
      <c r="J450" s="33">
        <v>3631.51</v>
      </c>
      <c r="K450" s="33">
        <v>3631.51</v>
      </c>
      <c r="L450" s="33">
        <v>3631.51</v>
      </c>
      <c r="M450" s="33">
        <v>3631.51</v>
      </c>
      <c r="N450" s="33">
        <v>3631.51</v>
      </c>
      <c r="O450" s="33">
        <v>0</v>
      </c>
      <c r="P450" s="33"/>
      <c r="Q450" s="33"/>
      <c r="R450" s="33"/>
      <c r="S450" s="33">
        <f t="shared" si="185"/>
        <v>18157.550000000003</v>
      </c>
      <c r="AG450" s="33"/>
      <c r="AH450" s="33"/>
      <c r="AI450" s="33"/>
      <c r="AJ450" s="33"/>
      <c r="AM450" s="44"/>
      <c r="AV450" s="54"/>
      <c r="CA450" s="50">
        <v>108.53</v>
      </c>
    </row>
    <row r="451" spans="1:79" ht="29.25" hidden="1" customHeight="1" x14ac:dyDescent="0.25">
      <c r="A451" s="152"/>
      <c r="B451" s="145"/>
      <c r="C451" s="151" t="s">
        <v>179</v>
      </c>
      <c r="D451" s="168"/>
      <c r="E451" s="166"/>
      <c r="F451" s="165"/>
      <c r="G451" s="142" t="s">
        <v>330</v>
      </c>
      <c r="H451" s="206"/>
      <c r="I451" s="33">
        <v>0</v>
      </c>
      <c r="J451" s="33">
        <v>191.13</v>
      </c>
      <c r="K451" s="33">
        <v>191.13</v>
      </c>
      <c r="L451" s="33">
        <v>191.13</v>
      </c>
      <c r="M451" s="33">
        <v>191.13</v>
      </c>
      <c r="N451" s="33">
        <v>191.13</v>
      </c>
      <c r="O451" s="33">
        <v>0</v>
      </c>
      <c r="P451" s="33"/>
      <c r="Q451" s="33"/>
      <c r="R451" s="33"/>
      <c r="S451" s="33">
        <f t="shared" si="185"/>
        <v>955.65</v>
      </c>
      <c r="AG451" s="33"/>
      <c r="AH451" s="33"/>
      <c r="AI451" s="33"/>
      <c r="AJ451" s="33"/>
      <c r="AM451" s="44"/>
      <c r="AV451" s="54"/>
    </row>
    <row r="452" spans="1:79" ht="29.25" hidden="1" customHeight="1" x14ac:dyDescent="0.25">
      <c r="A452" s="152"/>
      <c r="B452" s="145"/>
      <c r="C452" s="151" t="s">
        <v>37</v>
      </c>
      <c r="D452" s="168"/>
      <c r="E452" s="166"/>
      <c r="F452" s="165"/>
      <c r="G452" s="142" t="s">
        <v>330</v>
      </c>
      <c r="H452" s="206"/>
      <c r="I452" s="33">
        <v>0</v>
      </c>
      <c r="J452" s="33">
        <v>249.8</v>
      </c>
      <c r="K452" s="33">
        <v>249.8</v>
      </c>
      <c r="L452" s="33">
        <v>249.8</v>
      </c>
      <c r="M452" s="33">
        <v>249.8</v>
      </c>
      <c r="N452" s="33">
        <v>249.8</v>
      </c>
      <c r="O452" s="33">
        <v>0</v>
      </c>
      <c r="P452" s="33"/>
      <c r="Q452" s="33"/>
      <c r="R452" s="33"/>
      <c r="S452" s="33">
        <f t="shared" si="185"/>
        <v>1249</v>
      </c>
      <c r="AG452" s="33"/>
      <c r="AH452" s="33"/>
      <c r="AI452" s="33"/>
      <c r="AJ452" s="33"/>
      <c r="AM452" s="44"/>
      <c r="AV452" s="54"/>
    </row>
    <row r="453" spans="1:79" ht="42" hidden="1" customHeight="1" x14ac:dyDescent="0.25">
      <c r="A453" s="152"/>
      <c r="B453" s="145"/>
      <c r="C453" s="151" t="s">
        <v>186</v>
      </c>
      <c r="D453" s="168"/>
      <c r="E453" s="166"/>
      <c r="F453" s="165"/>
      <c r="G453" s="142" t="s">
        <v>330</v>
      </c>
      <c r="H453" s="206">
        <v>811</v>
      </c>
      <c r="I453" s="33">
        <f t="shared" ref="I453:N453" si="192">I454+I455+I456</f>
        <v>0</v>
      </c>
      <c r="J453" s="33">
        <f t="shared" si="192"/>
        <v>27257.440000000002</v>
      </c>
      <c r="K453" s="33">
        <f t="shared" si="192"/>
        <v>27257.440000000002</v>
      </c>
      <c r="L453" s="33">
        <f t="shared" si="192"/>
        <v>27257.440000000002</v>
      </c>
      <c r="M453" s="33">
        <f t="shared" si="192"/>
        <v>27257.440000000002</v>
      </c>
      <c r="N453" s="33">
        <f t="shared" si="192"/>
        <v>27257.440000000002</v>
      </c>
      <c r="O453" s="33">
        <v>0</v>
      </c>
      <c r="P453" s="33"/>
      <c r="Q453" s="33"/>
      <c r="R453" s="33"/>
      <c r="S453" s="33">
        <f t="shared" si="185"/>
        <v>136287.20000000001</v>
      </c>
      <c r="AG453" s="33"/>
      <c r="AH453" s="33"/>
      <c r="AI453" s="33"/>
      <c r="AJ453" s="33"/>
      <c r="AM453" s="44"/>
      <c r="AV453" s="44">
        <f>I453+I449</f>
        <v>0</v>
      </c>
    </row>
    <row r="454" spans="1:79" ht="29.25" hidden="1" customHeight="1" x14ac:dyDescent="0.3">
      <c r="A454" s="152"/>
      <c r="B454" s="145"/>
      <c r="C454" s="151" t="s">
        <v>178</v>
      </c>
      <c r="D454" s="168"/>
      <c r="E454" s="166"/>
      <c r="F454" s="165"/>
      <c r="G454" s="142" t="s">
        <v>330</v>
      </c>
      <c r="H454" s="206"/>
      <c r="I454" s="33">
        <v>0</v>
      </c>
      <c r="J454" s="33">
        <v>24306.22</v>
      </c>
      <c r="K454" s="33">
        <v>24306.22</v>
      </c>
      <c r="L454" s="33">
        <v>24306.22</v>
      </c>
      <c r="M454" s="33">
        <v>24306.22</v>
      </c>
      <c r="N454" s="33">
        <v>24306.22</v>
      </c>
      <c r="O454" s="33">
        <v>0</v>
      </c>
      <c r="P454" s="75"/>
      <c r="Q454" s="75"/>
      <c r="R454" s="75"/>
      <c r="S454" s="33">
        <f t="shared" si="185"/>
        <v>121531.1</v>
      </c>
      <c r="AG454" s="33">
        <v>15259.78</v>
      </c>
      <c r="AH454" s="75">
        <v>16536.439999999999</v>
      </c>
      <c r="AI454" s="75">
        <v>17240.84</v>
      </c>
      <c r="AJ454" s="33"/>
      <c r="AM454" s="44"/>
      <c r="AU454" s="33">
        <v>15183.12</v>
      </c>
      <c r="AV454" s="75">
        <v>16536.439999999999</v>
      </c>
      <c r="AW454" s="76">
        <v>17240.849999999999</v>
      </c>
    </row>
    <row r="455" spans="1:79" ht="29.25" hidden="1" customHeight="1" x14ac:dyDescent="0.3">
      <c r="A455" s="152"/>
      <c r="B455" s="145"/>
      <c r="C455" s="151" t="s">
        <v>179</v>
      </c>
      <c r="D455" s="168"/>
      <c r="E455" s="166"/>
      <c r="F455" s="165"/>
      <c r="G455" s="142" t="s">
        <v>330</v>
      </c>
      <c r="H455" s="206"/>
      <c r="I455" s="33">
        <v>0</v>
      </c>
      <c r="J455" s="33">
        <v>1279.27</v>
      </c>
      <c r="K455" s="33">
        <v>1279.27</v>
      </c>
      <c r="L455" s="33">
        <v>1279.27</v>
      </c>
      <c r="M455" s="33">
        <v>1279.27</v>
      </c>
      <c r="N455" s="33">
        <v>1279.27</v>
      </c>
      <c r="O455" s="33">
        <v>0</v>
      </c>
      <c r="P455" s="77"/>
      <c r="Q455" s="77"/>
      <c r="R455" s="77"/>
      <c r="S455" s="33">
        <f t="shared" si="185"/>
        <v>6396.35</v>
      </c>
      <c r="AG455" s="33">
        <v>803.14</v>
      </c>
      <c r="AH455" s="75">
        <v>870.34</v>
      </c>
      <c r="AI455" s="75">
        <f>907.42</f>
        <v>907.42</v>
      </c>
      <c r="AJ455" s="33"/>
      <c r="AM455" s="44"/>
      <c r="AU455" s="33">
        <v>799.11</v>
      </c>
      <c r="AV455" s="76">
        <v>870.34</v>
      </c>
      <c r="AW455" s="76">
        <v>907.41</v>
      </c>
    </row>
    <row r="456" spans="1:79" ht="29.25" hidden="1" customHeight="1" x14ac:dyDescent="0.3">
      <c r="A456" s="152"/>
      <c r="B456" s="145"/>
      <c r="C456" s="151" t="s">
        <v>37</v>
      </c>
      <c r="D456" s="168"/>
      <c r="E456" s="166"/>
      <c r="F456" s="165"/>
      <c r="G456" s="142" t="s">
        <v>330</v>
      </c>
      <c r="H456" s="206"/>
      <c r="I456" s="33">
        <v>0</v>
      </c>
      <c r="J456" s="33">
        <v>1671.95</v>
      </c>
      <c r="K456" s="33">
        <v>1671.95</v>
      </c>
      <c r="L456" s="33">
        <v>1671.95</v>
      </c>
      <c r="M456" s="33">
        <v>1671.95</v>
      </c>
      <c r="N456" s="33">
        <v>1671.95</v>
      </c>
      <c r="O456" s="33">
        <v>0</v>
      </c>
      <c r="P456" s="75"/>
      <c r="Q456" s="75"/>
      <c r="R456" s="75"/>
      <c r="S456" s="33">
        <f t="shared" si="185"/>
        <v>8359.75</v>
      </c>
      <c r="AG456" s="33">
        <v>756.89</v>
      </c>
      <c r="AH456" s="75">
        <v>820.21</v>
      </c>
      <c r="AI456" s="75">
        <f>855.15</f>
        <v>855.15</v>
      </c>
      <c r="AJ456" s="33"/>
      <c r="AM456" s="44"/>
      <c r="AU456" s="33">
        <v>753.09</v>
      </c>
      <c r="AV456" s="76">
        <v>820.21</v>
      </c>
      <c r="AW456" s="76">
        <v>855.15</v>
      </c>
    </row>
    <row r="457" spans="1:79" x14ac:dyDescent="0.25">
      <c r="A457" s="190"/>
      <c r="B457" s="177"/>
      <c r="C457" s="151" t="s">
        <v>186</v>
      </c>
      <c r="D457" s="168" t="s">
        <v>25</v>
      </c>
      <c r="E457" s="166">
        <v>925</v>
      </c>
      <c r="F457" s="165" t="s">
        <v>60</v>
      </c>
      <c r="G457" s="142" t="s">
        <v>330</v>
      </c>
      <c r="H457" s="206">
        <v>810</v>
      </c>
      <c r="I457" s="33">
        <f>I458+I459+I460</f>
        <v>0</v>
      </c>
      <c r="J457" s="33">
        <v>0</v>
      </c>
      <c r="K457" s="33">
        <v>0</v>
      </c>
      <c r="L457" s="33">
        <v>0</v>
      </c>
      <c r="M457" s="33">
        <v>0</v>
      </c>
      <c r="N457" s="33">
        <v>0</v>
      </c>
      <c r="O457" s="33">
        <v>0</v>
      </c>
      <c r="P457" s="138">
        <f>P458+P459+P460</f>
        <v>16706.22</v>
      </c>
      <c r="Q457" s="138">
        <f>Q458+Q459+Q460</f>
        <v>16087.34</v>
      </c>
      <c r="R457" s="138">
        <f>R458+R459+R460</f>
        <v>15481.33</v>
      </c>
      <c r="S457" s="33">
        <f t="shared" si="185"/>
        <v>48274.89</v>
      </c>
      <c r="AG457" s="33"/>
      <c r="AH457" s="33"/>
      <c r="AI457" s="33"/>
      <c r="AJ457" s="33"/>
      <c r="AM457" s="44"/>
    </row>
    <row r="458" spans="1:79" ht="56.25" x14ac:dyDescent="0.3">
      <c r="A458" s="190"/>
      <c r="B458" s="177"/>
      <c r="C458" s="151" t="s">
        <v>178</v>
      </c>
      <c r="D458" s="168"/>
      <c r="E458" s="166"/>
      <c r="F458" s="165"/>
      <c r="G458" s="142" t="s">
        <v>330</v>
      </c>
      <c r="H458" s="206"/>
      <c r="I458" s="33">
        <v>0</v>
      </c>
      <c r="J458" s="33">
        <v>0</v>
      </c>
      <c r="K458" s="33">
        <v>0</v>
      </c>
      <c r="L458" s="33">
        <v>0</v>
      </c>
      <c r="M458" s="33">
        <v>0</v>
      </c>
      <c r="N458" s="33">
        <v>0</v>
      </c>
      <c r="O458" s="33">
        <v>0</v>
      </c>
      <c r="P458" s="33">
        <v>14871.79</v>
      </c>
      <c r="Q458" s="33">
        <v>13681.95</v>
      </c>
      <c r="R458" s="33">
        <v>12552.7</v>
      </c>
      <c r="S458" s="33">
        <f t="shared" si="185"/>
        <v>41106.44</v>
      </c>
      <c r="AG458" s="33">
        <v>16612.580000000002</v>
      </c>
      <c r="AH458" s="75">
        <v>16536.439999999999</v>
      </c>
      <c r="AI458" s="75">
        <f>17240.85</f>
        <v>17240.849999999999</v>
      </c>
      <c r="AJ458" s="33"/>
      <c r="AM458" s="44"/>
    </row>
    <row r="459" spans="1:79" ht="37.5" x14ac:dyDescent="0.3">
      <c r="A459" s="190"/>
      <c r="B459" s="177"/>
      <c r="C459" s="151" t="s">
        <v>179</v>
      </c>
      <c r="D459" s="168"/>
      <c r="E459" s="166"/>
      <c r="F459" s="165"/>
      <c r="G459" s="142" t="s">
        <v>330</v>
      </c>
      <c r="H459" s="206"/>
      <c r="I459" s="33">
        <v>0</v>
      </c>
      <c r="J459" s="33">
        <v>0</v>
      </c>
      <c r="K459" s="33">
        <v>0</v>
      </c>
      <c r="L459" s="33">
        <v>0</v>
      </c>
      <c r="M459" s="33">
        <v>0</v>
      </c>
      <c r="N459" s="33">
        <v>0</v>
      </c>
      <c r="O459" s="33">
        <v>0</v>
      </c>
      <c r="P459" s="33">
        <v>949.26</v>
      </c>
      <c r="Q459" s="33">
        <v>1520.22</v>
      </c>
      <c r="R459" s="33">
        <v>2043.46</v>
      </c>
      <c r="S459" s="33">
        <f t="shared" si="185"/>
        <v>4512.9400000000005</v>
      </c>
      <c r="AG459" s="33">
        <v>874.35</v>
      </c>
      <c r="AH459" s="75">
        <v>870.34</v>
      </c>
      <c r="AI459" s="75">
        <v>907.41</v>
      </c>
      <c r="AJ459" s="33"/>
      <c r="AM459" s="44"/>
      <c r="BN459" s="35" t="s">
        <v>151</v>
      </c>
    </row>
    <row r="460" spans="1:79" ht="37.5" x14ac:dyDescent="0.3">
      <c r="A460" s="190"/>
      <c r="B460" s="177"/>
      <c r="C460" s="151" t="s">
        <v>37</v>
      </c>
      <c r="D460" s="168"/>
      <c r="E460" s="166"/>
      <c r="F460" s="165"/>
      <c r="G460" s="142" t="s">
        <v>330</v>
      </c>
      <c r="H460" s="206"/>
      <c r="I460" s="33">
        <v>0</v>
      </c>
      <c r="J460" s="33">
        <v>0</v>
      </c>
      <c r="K460" s="33">
        <v>0</v>
      </c>
      <c r="L460" s="33">
        <v>0</v>
      </c>
      <c r="M460" s="33">
        <v>0</v>
      </c>
      <c r="N460" s="33">
        <v>0</v>
      </c>
      <c r="O460" s="33">
        <v>0</v>
      </c>
      <c r="P460" s="75">
        <v>885.17</v>
      </c>
      <c r="Q460" s="75">
        <v>885.17</v>
      </c>
      <c r="R460" s="75">
        <v>885.17</v>
      </c>
      <c r="S460" s="33">
        <f t="shared" si="185"/>
        <v>2655.5099999999998</v>
      </c>
      <c r="AG460" s="33">
        <v>823.99</v>
      </c>
      <c r="AH460" s="75">
        <v>820.21</v>
      </c>
      <c r="AI460" s="75">
        <v>855.15</v>
      </c>
      <c r="AJ460" s="33"/>
      <c r="AM460" s="44"/>
    </row>
    <row r="461" spans="1:79" x14ac:dyDescent="0.25">
      <c r="A461" s="190"/>
      <c r="B461" s="177"/>
      <c r="C461" s="151" t="s">
        <v>186</v>
      </c>
      <c r="D461" s="168" t="s">
        <v>26</v>
      </c>
      <c r="E461" s="166">
        <v>928</v>
      </c>
      <c r="F461" s="165" t="s">
        <v>60</v>
      </c>
      <c r="G461" s="142" t="s">
        <v>330</v>
      </c>
      <c r="H461" s="208">
        <v>810</v>
      </c>
      <c r="I461" s="33">
        <f>I462+I463+I464</f>
        <v>0</v>
      </c>
      <c r="J461" s="33">
        <v>0</v>
      </c>
      <c r="K461" s="33">
        <v>0</v>
      </c>
      <c r="L461" s="33">
        <v>0</v>
      </c>
      <c r="M461" s="33">
        <v>0</v>
      </c>
      <c r="N461" s="33">
        <v>0</v>
      </c>
      <c r="O461" s="33">
        <v>0</v>
      </c>
      <c r="P461" s="138">
        <f>P462+P463+P464</f>
        <v>16706.22</v>
      </c>
      <c r="Q461" s="138">
        <f>Q462+Q463+Q464</f>
        <v>16087.33</v>
      </c>
      <c r="R461" s="138">
        <f>R462+R463+R464</f>
        <v>15481.32</v>
      </c>
      <c r="S461" s="33">
        <f t="shared" si="185"/>
        <v>48274.87</v>
      </c>
      <c r="AG461" s="33"/>
      <c r="AH461" s="33"/>
      <c r="AI461" s="33"/>
      <c r="AJ461" s="33"/>
      <c r="AM461" s="44"/>
    </row>
    <row r="462" spans="1:79" ht="56.25" x14ac:dyDescent="0.25">
      <c r="A462" s="190"/>
      <c r="B462" s="177"/>
      <c r="C462" s="151" t="s">
        <v>178</v>
      </c>
      <c r="D462" s="168"/>
      <c r="E462" s="166"/>
      <c r="F462" s="165"/>
      <c r="G462" s="142" t="s">
        <v>330</v>
      </c>
      <c r="H462" s="208"/>
      <c r="I462" s="33">
        <f>I466+I470</f>
        <v>0</v>
      </c>
      <c r="J462" s="33">
        <v>0</v>
      </c>
      <c r="K462" s="33">
        <v>0</v>
      </c>
      <c r="L462" s="33">
        <v>0</v>
      </c>
      <c r="M462" s="33">
        <v>0</v>
      </c>
      <c r="N462" s="33">
        <v>0</v>
      </c>
      <c r="O462" s="33">
        <v>0</v>
      </c>
      <c r="P462" s="33">
        <v>14871.79</v>
      </c>
      <c r="Q462" s="33">
        <v>13681.95</v>
      </c>
      <c r="R462" s="33">
        <v>12552.7</v>
      </c>
      <c r="S462" s="33">
        <f t="shared" si="185"/>
        <v>41106.44</v>
      </c>
      <c r="AG462" s="33"/>
      <c r="AH462" s="33"/>
      <c r="AI462" s="33"/>
      <c r="AJ462" s="33"/>
      <c r="AM462" s="44"/>
    </row>
    <row r="463" spans="1:79" ht="37.5" x14ac:dyDescent="0.25">
      <c r="A463" s="190"/>
      <c r="B463" s="177"/>
      <c r="C463" s="151" t="s">
        <v>179</v>
      </c>
      <c r="D463" s="168"/>
      <c r="E463" s="166"/>
      <c r="F463" s="165"/>
      <c r="G463" s="142" t="s">
        <v>330</v>
      </c>
      <c r="H463" s="208"/>
      <c r="I463" s="33">
        <f>I467+I471</f>
        <v>0</v>
      </c>
      <c r="J463" s="33">
        <v>0</v>
      </c>
      <c r="K463" s="33">
        <v>0</v>
      </c>
      <c r="L463" s="33">
        <v>0</v>
      </c>
      <c r="M463" s="33">
        <v>0</v>
      </c>
      <c r="N463" s="33">
        <v>0</v>
      </c>
      <c r="O463" s="33">
        <v>0</v>
      </c>
      <c r="P463" s="33">
        <v>949.27</v>
      </c>
      <c r="Q463" s="33">
        <v>1520.22</v>
      </c>
      <c r="R463" s="33">
        <v>2043.46</v>
      </c>
      <c r="S463" s="33">
        <f t="shared" si="185"/>
        <v>4512.95</v>
      </c>
      <c r="AG463" s="33"/>
      <c r="AH463" s="33"/>
      <c r="AI463" s="33"/>
      <c r="AJ463" s="33"/>
      <c r="AM463" s="44"/>
    </row>
    <row r="464" spans="1:79" ht="37.5" x14ac:dyDescent="0.25">
      <c r="A464" s="190"/>
      <c r="B464" s="177"/>
      <c r="C464" s="151" t="s">
        <v>37</v>
      </c>
      <c r="D464" s="168"/>
      <c r="E464" s="166"/>
      <c r="F464" s="165"/>
      <c r="G464" s="142" t="s">
        <v>330</v>
      </c>
      <c r="H464" s="208"/>
      <c r="I464" s="33">
        <f>I468+I472</f>
        <v>0</v>
      </c>
      <c r="J464" s="33">
        <v>0</v>
      </c>
      <c r="K464" s="33">
        <v>0</v>
      </c>
      <c r="L464" s="33">
        <v>0</v>
      </c>
      <c r="M464" s="33">
        <v>0</v>
      </c>
      <c r="N464" s="33">
        <v>0</v>
      </c>
      <c r="O464" s="33">
        <v>0</v>
      </c>
      <c r="P464" s="33">
        <v>885.16</v>
      </c>
      <c r="Q464" s="33">
        <v>885.16</v>
      </c>
      <c r="R464" s="33">
        <v>885.16</v>
      </c>
      <c r="S464" s="33">
        <f t="shared" si="185"/>
        <v>2655.48</v>
      </c>
      <c r="AG464" s="33"/>
      <c r="AH464" s="33"/>
      <c r="AI464" s="33"/>
      <c r="AJ464" s="33"/>
      <c r="AM464" s="44"/>
    </row>
    <row r="465" spans="1:48" ht="36" hidden="1" customHeight="1" x14ac:dyDescent="0.25">
      <c r="A465" s="152"/>
      <c r="B465" s="145"/>
      <c r="C465" s="151" t="s">
        <v>186</v>
      </c>
      <c r="D465" s="168"/>
      <c r="E465" s="166"/>
      <c r="F465" s="165"/>
      <c r="G465" s="142" t="s">
        <v>330</v>
      </c>
      <c r="H465" s="206">
        <v>631</v>
      </c>
      <c r="I465" s="33">
        <f t="shared" ref="I465:N465" si="193">I466+I467+I468</f>
        <v>0</v>
      </c>
      <c r="J465" s="33">
        <f t="shared" si="193"/>
        <v>1676.97</v>
      </c>
      <c r="K465" s="33">
        <f t="shared" si="193"/>
        <v>1676.97</v>
      </c>
      <c r="L465" s="33">
        <f t="shared" si="193"/>
        <v>1676.97</v>
      </c>
      <c r="M465" s="33">
        <f t="shared" si="193"/>
        <v>1676.97</v>
      </c>
      <c r="N465" s="33">
        <f t="shared" si="193"/>
        <v>1676.97</v>
      </c>
      <c r="O465" s="33">
        <v>0</v>
      </c>
      <c r="P465" s="33"/>
      <c r="Q465" s="33"/>
      <c r="R465" s="33"/>
      <c r="S465" s="33">
        <f t="shared" si="185"/>
        <v>8384.85</v>
      </c>
      <c r="AG465" s="33"/>
      <c r="AH465" s="33"/>
      <c r="AI465" s="33"/>
      <c r="AJ465" s="33"/>
      <c r="AM465" s="44"/>
      <c r="AV465" s="54"/>
    </row>
    <row r="466" spans="1:48" ht="27" hidden="1" customHeight="1" x14ac:dyDescent="0.25">
      <c r="A466" s="152"/>
      <c r="B466" s="145"/>
      <c r="C466" s="151" t="s">
        <v>178</v>
      </c>
      <c r="D466" s="168"/>
      <c r="E466" s="166"/>
      <c r="F466" s="165"/>
      <c r="G466" s="142" t="s">
        <v>330</v>
      </c>
      <c r="H466" s="206"/>
      <c r="I466" s="33">
        <v>0</v>
      </c>
      <c r="J466" s="33">
        <v>1495.41</v>
      </c>
      <c r="K466" s="33">
        <v>1495.41</v>
      </c>
      <c r="L466" s="33">
        <v>1495.41</v>
      </c>
      <c r="M466" s="33">
        <v>1495.41</v>
      </c>
      <c r="N466" s="33">
        <v>1495.41</v>
      </c>
      <c r="O466" s="33">
        <v>0</v>
      </c>
      <c r="P466" s="33"/>
      <c r="Q466" s="33"/>
      <c r="R466" s="33"/>
      <c r="S466" s="33">
        <f t="shared" si="185"/>
        <v>7477.05</v>
      </c>
      <c r="AG466" s="33"/>
      <c r="AH466" s="33"/>
      <c r="AI466" s="33"/>
      <c r="AJ466" s="33"/>
      <c r="AM466" s="44"/>
      <c r="AV466" s="54"/>
    </row>
    <row r="467" spans="1:48" ht="27" hidden="1" customHeight="1" x14ac:dyDescent="0.25">
      <c r="A467" s="152"/>
      <c r="B467" s="145"/>
      <c r="C467" s="151" t="s">
        <v>179</v>
      </c>
      <c r="D467" s="168"/>
      <c r="E467" s="166"/>
      <c r="F467" s="165"/>
      <c r="G467" s="142" t="s">
        <v>330</v>
      </c>
      <c r="H467" s="206"/>
      <c r="I467" s="33">
        <v>0</v>
      </c>
      <c r="J467" s="33">
        <v>78.7</v>
      </c>
      <c r="K467" s="33">
        <v>78.7</v>
      </c>
      <c r="L467" s="33">
        <v>78.7</v>
      </c>
      <c r="M467" s="33">
        <v>78.7</v>
      </c>
      <c r="N467" s="33">
        <v>78.7</v>
      </c>
      <c r="O467" s="33">
        <v>0</v>
      </c>
      <c r="P467" s="33"/>
      <c r="Q467" s="33"/>
      <c r="R467" s="33"/>
      <c r="S467" s="33">
        <f t="shared" si="185"/>
        <v>393.5</v>
      </c>
      <c r="AG467" s="33"/>
      <c r="AH467" s="33"/>
      <c r="AI467" s="33"/>
      <c r="AJ467" s="33"/>
      <c r="AM467" s="44"/>
      <c r="AV467" s="54"/>
    </row>
    <row r="468" spans="1:48" ht="27" hidden="1" customHeight="1" x14ac:dyDescent="0.25">
      <c r="A468" s="152"/>
      <c r="B468" s="145"/>
      <c r="C468" s="151" t="s">
        <v>37</v>
      </c>
      <c r="D468" s="168"/>
      <c r="E468" s="166"/>
      <c r="F468" s="165"/>
      <c r="G468" s="142" t="s">
        <v>330</v>
      </c>
      <c r="H468" s="206"/>
      <c r="I468" s="33">
        <v>0</v>
      </c>
      <c r="J468" s="33">
        <v>102.86</v>
      </c>
      <c r="K468" s="33">
        <v>102.86</v>
      </c>
      <c r="L468" s="33">
        <v>102.86</v>
      </c>
      <c r="M468" s="33">
        <v>102.86</v>
      </c>
      <c r="N468" s="33">
        <v>102.86</v>
      </c>
      <c r="O468" s="33">
        <v>0</v>
      </c>
      <c r="P468" s="33"/>
      <c r="Q468" s="33"/>
      <c r="R468" s="33"/>
      <c r="S468" s="33">
        <f t="shared" si="185"/>
        <v>514.29999999999995</v>
      </c>
      <c r="AG468" s="33"/>
      <c r="AH468" s="33"/>
      <c r="AI468" s="33"/>
      <c r="AJ468" s="33"/>
      <c r="AM468" s="44"/>
      <c r="AV468" s="54"/>
    </row>
    <row r="469" spans="1:48" ht="36.75" hidden="1" customHeight="1" x14ac:dyDescent="0.25">
      <c r="A469" s="152"/>
      <c r="B469" s="145"/>
      <c r="C469" s="151" t="s">
        <v>186</v>
      </c>
      <c r="D469" s="168"/>
      <c r="E469" s="166"/>
      <c r="F469" s="165"/>
      <c r="G469" s="142" t="s">
        <v>330</v>
      </c>
      <c r="H469" s="206">
        <v>811</v>
      </c>
      <c r="I469" s="33">
        <f t="shared" ref="I469:N469" si="194">I470+I471+I472</f>
        <v>0</v>
      </c>
      <c r="J469" s="33">
        <f t="shared" si="194"/>
        <v>21405.759999999998</v>
      </c>
      <c r="K469" s="33">
        <f t="shared" si="194"/>
        <v>21405.759999999998</v>
      </c>
      <c r="L469" s="33">
        <f t="shared" si="194"/>
        <v>21405.759999999998</v>
      </c>
      <c r="M469" s="33">
        <f t="shared" si="194"/>
        <v>21405.759999999998</v>
      </c>
      <c r="N469" s="33">
        <f t="shared" si="194"/>
        <v>21405.759999999998</v>
      </c>
      <c r="O469" s="33">
        <v>0</v>
      </c>
      <c r="P469" s="33"/>
      <c r="Q469" s="33"/>
      <c r="R469" s="33"/>
      <c r="S469" s="33">
        <f t="shared" si="185"/>
        <v>107028.79999999999</v>
      </c>
      <c r="AG469" s="33"/>
      <c r="AH469" s="33"/>
      <c r="AI469" s="33"/>
      <c r="AJ469" s="33"/>
      <c r="AM469" s="44"/>
      <c r="AV469" s="44">
        <f>I469+I465</f>
        <v>0</v>
      </c>
    </row>
    <row r="470" spans="1:48" ht="27" hidden="1" customHeight="1" x14ac:dyDescent="0.3">
      <c r="A470" s="152"/>
      <c r="B470" s="145"/>
      <c r="C470" s="151" t="s">
        <v>178</v>
      </c>
      <c r="D470" s="168"/>
      <c r="E470" s="166"/>
      <c r="F470" s="165"/>
      <c r="G470" s="142" t="s">
        <v>330</v>
      </c>
      <c r="H470" s="206"/>
      <c r="I470" s="33">
        <v>0</v>
      </c>
      <c r="J470" s="33">
        <v>19088.11</v>
      </c>
      <c r="K470" s="33">
        <v>19088.11</v>
      </c>
      <c r="L470" s="33">
        <v>19088.11</v>
      </c>
      <c r="M470" s="33">
        <v>19088.11</v>
      </c>
      <c r="N470" s="33">
        <v>19088.11</v>
      </c>
      <c r="O470" s="33">
        <v>0</v>
      </c>
      <c r="P470" s="75"/>
      <c r="Q470" s="75"/>
      <c r="R470" s="75"/>
      <c r="S470" s="33">
        <f t="shared" si="185"/>
        <v>95440.55</v>
      </c>
      <c r="AG470" s="33">
        <v>16049.67</v>
      </c>
      <c r="AH470" s="75">
        <v>16536.439999999999</v>
      </c>
      <c r="AI470" s="75">
        <v>17240.84</v>
      </c>
      <c r="AJ470" s="33"/>
      <c r="AM470" s="44"/>
      <c r="AV470" s="44"/>
    </row>
    <row r="471" spans="1:48" ht="27" hidden="1" customHeight="1" x14ac:dyDescent="0.3">
      <c r="A471" s="152"/>
      <c r="B471" s="145"/>
      <c r="C471" s="151" t="s">
        <v>179</v>
      </c>
      <c r="D471" s="168"/>
      <c r="E471" s="166"/>
      <c r="F471" s="165"/>
      <c r="G471" s="142" t="s">
        <v>330</v>
      </c>
      <c r="H471" s="206"/>
      <c r="I471" s="33">
        <v>0</v>
      </c>
      <c r="J471" s="33">
        <v>1004.64</v>
      </c>
      <c r="K471" s="33">
        <v>1004.64</v>
      </c>
      <c r="L471" s="33">
        <v>1004.64</v>
      </c>
      <c r="M471" s="33">
        <v>1004.64</v>
      </c>
      <c r="N471" s="33">
        <v>1004.64</v>
      </c>
      <c r="O471" s="33">
        <v>0</v>
      </c>
      <c r="P471" s="77"/>
      <c r="Q471" s="77"/>
      <c r="R471" s="77"/>
      <c r="S471" s="33">
        <f t="shared" si="185"/>
        <v>5023.2</v>
      </c>
      <c r="AG471" s="33">
        <v>844.72</v>
      </c>
      <c r="AH471" s="75">
        <v>870.34</v>
      </c>
      <c r="AI471" s="75">
        <f>907.41</f>
        <v>907.41</v>
      </c>
      <c r="AJ471" s="33"/>
      <c r="AM471" s="44"/>
      <c r="AV471" s="44">
        <f>I471+I467</f>
        <v>0</v>
      </c>
    </row>
    <row r="472" spans="1:48" ht="27" hidden="1" customHeight="1" x14ac:dyDescent="0.3">
      <c r="A472" s="152"/>
      <c r="B472" s="145"/>
      <c r="C472" s="151" t="s">
        <v>37</v>
      </c>
      <c r="D472" s="168"/>
      <c r="E472" s="166"/>
      <c r="F472" s="165"/>
      <c r="G472" s="142" t="s">
        <v>330</v>
      </c>
      <c r="H472" s="206"/>
      <c r="I472" s="33">
        <v>0</v>
      </c>
      <c r="J472" s="33">
        <v>1313.01</v>
      </c>
      <c r="K472" s="33">
        <v>1313.01</v>
      </c>
      <c r="L472" s="33">
        <v>1313.01</v>
      </c>
      <c r="M472" s="33">
        <v>1313.01</v>
      </c>
      <c r="N472" s="33">
        <v>1313.01</v>
      </c>
      <c r="O472" s="33">
        <v>0</v>
      </c>
      <c r="P472" s="75"/>
      <c r="Q472" s="75"/>
      <c r="R472" s="75"/>
      <c r="S472" s="33">
        <f t="shared" si="185"/>
        <v>6565.05</v>
      </c>
      <c r="AG472" s="33">
        <v>796.07</v>
      </c>
      <c r="AH472" s="75">
        <v>820.21</v>
      </c>
      <c r="AI472" s="75">
        <f>855.16</f>
        <v>855.16</v>
      </c>
      <c r="AJ472" s="33"/>
      <c r="AM472" s="44"/>
      <c r="AV472" s="44">
        <f>I472+I468</f>
        <v>0</v>
      </c>
    </row>
    <row r="473" spans="1:48" x14ac:dyDescent="0.25">
      <c r="A473" s="190"/>
      <c r="B473" s="177"/>
      <c r="C473" s="151" t="s">
        <v>186</v>
      </c>
      <c r="D473" s="168" t="s">
        <v>27</v>
      </c>
      <c r="E473" s="166">
        <v>931</v>
      </c>
      <c r="F473" s="165" t="s">
        <v>60</v>
      </c>
      <c r="G473" s="142" t="s">
        <v>330</v>
      </c>
      <c r="H473" s="208">
        <v>810</v>
      </c>
      <c r="I473" s="33">
        <f>I474+I475+I476</f>
        <v>0</v>
      </c>
      <c r="J473" s="33">
        <v>0</v>
      </c>
      <c r="K473" s="33">
        <v>0</v>
      </c>
      <c r="L473" s="33">
        <v>0</v>
      </c>
      <c r="M473" s="33">
        <v>0</v>
      </c>
      <c r="N473" s="33">
        <v>0</v>
      </c>
      <c r="O473" s="33">
        <v>0</v>
      </c>
      <c r="P473" s="138">
        <f>P474+P475+P476</f>
        <v>16706.22</v>
      </c>
      <c r="Q473" s="138">
        <f>Q474+Q475+Q476</f>
        <v>16087.339999999998</v>
      </c>
      <c r="R473" s="138">
        <f>R474+R475+R476</f>
        <v>15481.32</v>
      </c>
      <c r="S473" s="33">
        <f t="shared" si="185"/>
        <v>48274.879999999997</v>
      </c>
      <c r="AG473" s="33"/>
      <c r="AH473" s="33"/>
      <c r="AI473" s="33"/>
      <c r="AJ473" s="33"/>
      <c r="AM473" s="44"/>
    </row>
    <row r="474" spans="1:48" ht="56.25" x14ac:dyDescent="0.25">
      <c r="A474" s="190"/>
      <c r="B474" s="177"/>
      <c r="C474" s="151" t="s">
        <v>178</v>
      </c>
      <c r="D474" s="168"/>
      <c r="E474" s="166"/>
      <c r="F474" s="165"/>
      <c r="G474" s="142" t="s">
        <v>330</v>
      </c>
      <c r="H474" s="208"/>
      <c r="I474" s="33">
        <f>I478+I482</f>
        <v>0</v>
      </c>
      <c r="J474" s="33">
        <v>0</v>
      </c>
      <c r="K474" s="33">
        <v>0</v>
      </c>
      <c r="L474" s="33">
        <v>0</v>
      </c>
      <c r="M474" s="33">
        <v>0</v>
      </c>
      <c r="N474" s="33">
        <v>0</v>
      </c>
      <c r="O474" s="33">
        <v>0</v>
      </c>
      <c r="P474" s="33">
        <v>14871.8</v>
      </c>
      <c r="Q474" s="33">
        <v>13681.96</v>
      </c>
      <c r="R474" s="33">
        <v>12552.7</v>
      </c>
      <c r="S474" s="33">
        <f t="shared" si="185"/>
        <v>41106.46</v>
      </c>
      <c r="AG474" s="33"/>
      <c r="AH474" s="33"/>
      <c r="AI474" s="33"/>
      <c r="AJ474" s="33"/>
      <c r="AM474" s="44"/>
    </row>
    <row r="475" spans="1:48" ht="37.5" x14ac:dyDescent="0.25">
      <c r="A475" s="190"/>
      <c r="B475" s="177"/>
      <c r="C475" s="151" t="s">
        <v>179</v>
      </c>
      <c r="D475" s="168"/>
      <c r="E475" s="166"/>
      <c r="F475" s="165"/>
      <c r="G475" s="142" t="s">
        <v>330</v>
      </c>
      <c r="H475" s="208"/>
      <c r="I475" s="33">
        <f>I479+I483</f>
        <v>0</v>
      </c>
      <c r="J475" s="33">
        <v>0</v>
      </c>
      <c r="K475" s="33">
        <v>0</v>
      </c>
      <c r="L475" s="33">
        <v>0</v>
      </c>
      <c r="M475" s="33">
        <v>0</v>
      </c>
      <c r="N475" s="33">
        <v>0</v>
      </c>
      <c r="O475" s="33">
        <v>0</v>
      </c>
      <c r="P475" s="153">
        <f>949.27-0.01</f>
        <v>949.26</v>
      </c>
      <c r="Q475" s="33">
        <v>1520.22</v>
      </c>
      <c r="R475" s="33">
        <v>2043.46</v>
      </c>
      <c r="S475" s="33">
        <f t="shared" si="185"/>
        <v>4512.9400000000005</v>
      </c>
      <c r="AG475" s="33"/>
      <c r="AH475" s="33"/>
      <c r="AI475" s="33"/>
      <c r="AJ475" s="33"/>
      <c r="AM475" s="44"/>
    </row>
    <row r="476" spans="1:48" ht="37.5" x14ac:dyDescent="0.25">
      <c r="A476" s="190"/>
      <c r="B476" s="177"/>
      <c r="C476" s="151" t="s">
        <v>37</v>
      </c>
      <c r="D476" s="168"/>
      <c r="E476" s="166"/>
      <c r="F476" s="165"/>
      <c r="G476" s="142" t="s">
        <v>330</v>
      </c>
      <c r="H476" s="208"/>
      <c r="I476" s="33">
        <f>I480+I484</f>
        <v>0</v>
      </c>
      <c r="J476" s="33">
        <v>0</v>
      </c>
      <c r="K476" s="33">
        <v>0</v>
      </c>
      <c r="L476" s="33">
        <v>0</v>
      </c>
      <c r="M476" s="33">
        <v>0</v>
      </c>
      <c r="N476" s="33">
        <v>0</v>
      </c>
      <c r="O476" s="33">
        <v>0</v>
      </c>
      <c r="P476" s="33">
        <v>885.16</v>
      </c>
      <c r="Q476" s="33">
        <v>885.16</v>
      </c>
      <c r="R476" s="33">
        <v>885.16</v>
      </c>
      <c r="S476" s="33">
        <f t="shared" si="185"/>
        <v>2655.48</v>
      </c>
      <c r="AG476" s="33"/>
      <c r="AH476" s="33"/>
      <c r="AI476" s="33"/>
      <c r="AJ476" s="33"/>
      <c r="AM476" s="44"/>
    </row>
    <row r="477" spans="1:48" ht="41.25" hidden="1" customHeight="1" x14ac:dyDescent="0.25">
      <c r="A477" s="152"/>
      <c r="B477" s="145"/>
      <c r="C477" s="151" t="s">
        <v>186</v>
      </c>
      <c r="D477" s="168"/>
      <c r="E477" s="166"/>
      <c r="F477" s="165"/>
      <c r="G477" s="142" t="s">
        <v>330</v>
      </c>
      <c r="H477" s="206">
        <v>631</v>
      </c>
      <c r="I477" s="33">
        <f t="shared" ref="I477:O477" si="195">I478+I479+I480</f>
        <v>0</v>
      </c>
      <c r="J477" s="33">
        <f t="shared" si="195"/>
        <v>3628.63</v>
      </c>
      <c r="K477" s="33">
        <f t="shared" si="195"/>
        <v>3628.63</v>
      </c>
      <c r="L477" s="33">
        <f t="shared" si="195"/>
        <v>3628.63</v>
      </c>
      <c r="M477" s="33">
        <f t="shared" si="195"/>
        <v>3628.63</v>
      </c>
      <c r="N477" s="33">
        <f t="shared" si="195"/>
        <v>3628.63</v>
      </c>
      <c r="O477" s="33">
        <f t="shared" si="195"/>
        <v>3628.63</v>
      </c>
      <c r="P477" s="33"/>
      <c r="Q477" s="33"/>
      <c r="R477" s="33"/>
      <c r="S477" s="33">
        <f t="shared" si="185"/>
        <v>21771.780000000002</v>
      </c>
      <c r="AG477" s="33"/>
      <c r="AH477" s="33"/>
      <c r="AI477" s="33"/>
      <c r="AJ477" s="33"/>
      <c r="AM477" s="44"/>
    </row>
    <row r="478" spans="1:48" ht="27" hidden="1" customHeight="1" x14ac:dyDescent="0.25">
      <c r="A478" s="152"/>
      <c r="B478" s="145"/>
      <c r="C478" s="151" t="s">
        <v>178</v>
      </c>
      <c r="D478" s="168"/>
      <c r="E478" s="166"/>
      <c r="F478" s="165"/>
      <c r="G478" s="142" t="s">
        <v>330</v>
      </c>
      <c r="H478" s="206"/>
      <c r="I478" s="33">
        <v>0</v>
      </c>
      <c r="J478" s="33">
        <v>3235.75</v>
      </c>
      <c r="K478" s="33">
        <v>3235.75</v>
      </c>
      <c r="L478" s="33">
        <v>3235.75</v>
      </c>
      <c r="M478" s="33">
        <v>3235.75</v>
      </c>
      <c r="N478" s="33">
        <v>3235.75</v>
      </c>
      <c r="O478" s="33">
        <v>3235.75</v>
      </c>
      <c r="P478" s="33"/>
      <c r="Q478" s="33"/>
      <c r="R478" s="33"/>
      <c r="S478" s="33">
        <f t="shared" si="185"/>
        <v>19414.5</v>
      </c>
      <c r="AG478" s="33"/>
      <c r="AH478" s="33"/>
      <c r="AI478" s="33"/>
      <c r="AJ478" s="33"/>
      <c r="AM478" s="44"/>
    </row>
    <row r="479" spans="1:48" ht="27" hidden="1" customHeight="1" x14ac:dyDescent="0.25">
      <c r="A479" s="152"/>
      <c r="B479" s="145"/>
      <c r="C479" s="151" t="s">
        <v>179</v>
      </c>
      <c r="D479" s="168"/>
      <c r="E479" s="166"/>
      <c r="F479" s="165"/>
      <c r="G479" s="142" t="s">
        <v>330</v>
      </c>
      <c r="H479" s="206"/>
      <c r="I479" s="33">
        <v>0</v>
      </c>
      <c r="J479" s="33">
        <v>170.3</v>
      </c>
      <c r="K479" s="33">
        <v>170.3</v>
      </c>
      <c r="L479" s="33">
        <v>170.3</v>
      </c>
      <c r="M479" s="33">
        <v>170.3</v>
      </c>
      <c r="N479" s="33">
        <v>170.3</v>
      </c>
      <c r="O479" s="33">
        <v>170.3</v>
      </c>
      <c r="P479" s="33"/>
      <c r="Q479" s="33"/>
      <c r="R479" s="33"/>
      <c r="S479" s="33">
        <f t="shared" si="185"/>
        <v>1021.8</v>
      </c>
      <c r="AG479" s="33"/>
      <c r="AH479" s="33"/>
      <c r="AI479" s="33"/>
      <c r="AJ479" s="33"/>
      <c r="AM479" s="44"/>
    </row>
    <row r="480" spans="1:48" ht="27" hidden="1" customHeight="1" x14ac:dyDescent="0.25">
      <c r="A480" s="152"/>
      <c r="B480" s="145"/>
      <c r="C480" s="151" t="s">
        <v>37</v>
      </c>
      <c r="D480" s="168"/>
      <c r="E480" s="166"/>
      <c r="F480" s="165"/>
      <c r="G480" s="142" t="s">
        <v>330</v>
      </c>
      <c r="H480" s="206"/>
      <c r="I480" s="33">
        <v>0</v>
      </c>
      <c r="J480" s="33">
        <v>222.58</v>
      </c>
      <c r="K480" s="33">
        <v>222.58</v>
      </c>
      <c r="L480" s="33">
        <v>222.58</v>
      </c>
      <c r="M480" s="33">
        <v>222.58</v>
      </c>
      <c r="N480" s="33">
        <v>222.58</v>
      </c>
      <c r="O480" s="33">
        <v>222.58</v>
      </c>
      <c r="P480" s="33"/>
      <c r="Q480" s="33"/>
      <c r="R480" s="33"/>
      <c r="S480" s="33">
        <f t="shared" si="185"/>
        <v>1335.48</v>
      </c>
      <c r="AG480" s="33"/>
      <c r="AH480" s="33"/>
      <c r="AI480" s="33"/>
      <c r="AJ480" s="33"/>
      <c r="AM480" s="44"/>
    </row>
    <row r="481" spans="1:48" ht="36" hidden="1" customHeight="1" x14ac:dyDescent="0.25">
      <c r="A481" s="152"/>
      <c r="B481" s="145"/>
      <c r="C481" s="151" t="s">
        <v>186</v>
      </c>
      <c r="D481" s="168"/>
      <c r="E481" s="166"/>
      <c r="F481" s="165"/>
      <c r="G481" s="142" t="s">
        <v>330</v>
      </c>
      <c r="H481" s="206">
        <v>811</v>
      </c>
      <c r="I481" s="33">
        <f t="shared" ref="I481:O481" si="196">I482+I483+I484</f>
        <v>0</v>
      </c>
      <c r="J481" s="33">
        <f t="shared" si="196"/>
        <v>24587.11</v>
      </c>
      <c r="K481" s="33">
        <f t="shared" si="196"/>
        <v>24587.11</v>
      </c>
      <c r="L481" s="33">
        <f t="shared" si="196"/>
        <v>24587.11</v>
      </c>
      <c r="M481" s="33">
        <f t="shared" si="196"/>
        <v>24587.11</v>
      </c>
      <c r="N481" s="33">
        <f t="shared" si="196"/>
        <v>24587.11</v>
      </c>
      <c r="O481" s="33">
        <f t="shared" si="196"/>
        <v>24587.11</v>
      </c>
      <c r="P481" s="33"/>
      <c r="Q481" s="33"/>
      <c r="R481" s="33"/>
      <c r="S481" s="33">
        <f t="shared" si="185"/>
        <v>147522.66</v>
      </c>
      <c r="AG481" s="33"/>
      <c r="AH481" s="33"/>
      <c r="AI481" s="33"/>
      <c r="AJ481" s="33"/>
      <c r="AM481" s="44"/>
    </row>
    <row r="482" spans="1:48" ht="27" hidden="1" customHeight="1" x14ac:dyDescent="0.3">
      <c r="A482" s="152"/>
      <c r="B482" s="145"/>
      <c r="C482" s="151" t="s">
        <v>178</v>
      </c>
      <c r="D482" s="168"/>
      <c r="E482" s="166"/>
      <c r="F482" s="165"/>
      <c r="G482" s="142" t="s">
        <v>330</v>
      </c>
      <c r="H482" s="206"/>
      <c r="I482" s="33">
        <v>0</v>
      </c>
      <c r="J482" s="33">
        <v>21925.01</v>
      </c>
      <c r="K482" s="33">
        <v>21925.01</v>
      </c>
      <c r="L482" s="33">
        <v>21925.01</v>
      </c>
      <c r="M482" s="33">
        <v>21925.01</v>
      </c>
      <c r="N482" s="33">
        <v>21925.01</v>
      </c>
      <c r="O482" s="33">
        <v>21925.01</v>
      </c>
      <c r="P482" s="75"/>
      <c r="Q482" s="75"/>
      <c r="R482" s="75"/>
      <c r="S482" s="33">
        <f t="shared" si="185"/>
        <v>131550.06</v>
      </c>
      <c r="AG482" s="33">
        <v>15519.53</v>
      </c>
      <c r="AH482" s="75">
        <v>16536.43</v>
      </c>
      <c r="AI482" s="75">
        <v>17240.84</v>
      </c>
      <c r="AJ482" s="33"/>
      <c r="AM482" s="44"/>
    </row>
    <row r="483" spans="1:48" ht="27" hidden="1" customHeight="1" x14ac:dyDescent="0.3">
      <c r="A483" s="152"/>
      <c r="B483" s="145"/>
      <c r="C483" s="151" t="s">
        <v>179</v>
      </c>
      <c r="D483" s="168"/>
      <c r="E483" s="166"/>
      <c r="F483" s="165"/>
      <c r="G483" s="142" t="s">
        <v>330</v>
      </c>
      <c r="H483" s="206"/>
      <c r="I483" s="33">
        <v>0</v>
      </c>
      <c r="J483" s="33">
        <v>1153.95</v>
      </c>
      <c r="K483" s="33">
        <v>1153.95</v>
      </c>
      <c r="L483" s="33">
        <v>1153.95</v>
      </c>
      <c r="M483" s="33">
        <v>1153.95</v>
      </c>
      <c r="N483" s="33">
        <v>1153.95</v>
      </c>
      <c r="O483" s="33">
        <v>1153.95</v>
      </c>
      <c r="P483" s="77"/>
      <c r="Q483" s="77"/>
      <c r="R483" s="77"/>
      <c r="S483" s="33">
        <f t="shared" si="185"/>
        <v>6923.7</v>
      </c>
      <c r="AG483" s="33">
        <v>816.82</v>
      </c>
      <c r="AH483" s="75">
        <v>870.34</v>
      </c>
      <c r="AI483" s="75">
        <v>907.41</v>
      </c>
      <c r="AJ483" s="33"/>
      <c r="AM483" s="44"/>
    </row>
    <row r="484" spans="1:48" ht="27" hidden="1" customHeight="1" x14ac:dyDescent="0.3">
      <c r="A484" s="152"/>
      <c r="B484" s="145"/>
      <c r="C484" s="151" t="s">
        <v>37</v>
      </c>
      <c r="D484" s="168"/>
      <c r="E484" s="166"/>
      <c r="F484" s="165"/>
      <c r="G484" s="142" t="s">
        <v>330</v>
      </c>
      <c r="H484" s="206"/>
      <c r="I484" s="33">
        <v>0</v>
      </c>
      <c r="J484" s="33">
        <v>1508.15</v>
      </c>
      <c r="K484" s="33">
        <v>1508.15</v>
      </c>
      <c r="L484" s="33">
        <v>1508.15</v>
      </c>
      <c r="M484" s="33">
        <v>1508.15</v>
      </c>
      <c r="N484" s="33">
        <v>1508.15</v>
      </c>
      <c r="O484" s="33">
        <v>1508.15</v>
      </c>
      <c r="P484" s="75"/>
      <c r="Q484" s="75"/>
      <c r="R484" s="75"/>
      <c r="S484" s="33">
        <f t="shared" si="185"/>
        <v>9048.9</v>
      </c>
      <c r="AG484" s="37">
        <v>769.78</v>
      </c>
      <c r="AH484" s="75">
        <v>820.22</v>
      </c>
      <c r="AI484" s="75">
        <v>855.15</v>
      </c>
      <c r="AJ484" s="33"/>
      <c r="AM484" s="44"/>
    </row>
    <row r="485" spans="1:48" x14ac:dyDescent="0.25">
      <c r="A485" s="190"/>
      <c r="B485" s="177"/>
      <c r="C485" s="151" t="s">
        <v>186</v>
      </c>
      <c r="D485" s="168" t="s">
        <v>28</v>
      </c>
      <c r="E485" s="166">
        <v>934</v>
      </c>
      <c r="F485" s="165" t="s">
        <v>60</v>
      </c>
      <c r="G485" s="142" t="s">
        <v>330</v>
      </c>
      <c r="H485" s="208">
        <v>810</v>
      </c>
      <c r="I485" s="33">
        <f>I486+I487+I488</f>
        <v>0</v>
      </c>
      <c r="J485" s="33">
        <v>0</v>
      </c>
      <c r="K485" s="33">
        <v>0</v>
      </c>
      <c r="L485" s="33">
        <v>0</v>
      </c>
      <c r="M485" s="33">
        <v>0</v>
      </c>
      <c r="N485" s="33">
        <v>0</v>
      </c>
      <c r="O485" s="33">
        <v>0</v>
      </c>
      <c r="P485" s="33">
        <f>P486+P487+P488</f>
        <v>16706.23</v>
      </c>
      <c r="Q485" s="138">
        <f>Q486+Q487+Q488</f>
        <v>16087.339999999998</v>
      </c>
      <c r="R485" s="138">
        <f>R486+R487+R488</f>
        <v>15481.33</v>
      </c>
      <c r="S485" s="33">
        <f t="shared" ref="S485:S499" si="197">SUM(I485:R485)</f>
        <v>48274.9</v>
      </c>
      <c r="AG485" s="33"/>
      <c r="AH485" s="33"/>
      <c r="AI485" s="33"/>
      <c r="AJ485" s="33"/>
      <c r="AM485" s="44"/>
    </row>
    <row r="486" spans="1:48" ht="56.25" x14ac:dyDescent="0.25">
      <c r="A486" s="190"/>
      <c r="B486" s="177"/>
      <c r="C486" s="151" t="s">
        <v>178</v>
      </c>
      <c r="D486" s="168"/>
      <c r="E486" s="166"/>
      <c r="F486" s="165"/>
      <c r="G486" s="142" t="s">
        <v>330</v>
      </c>
      <c r="H486" s="208"/>
      <c r="I486" s="33">
        <f>I490+I494</f>
        <v>0</v>
      </c>
      <c r="J486" s="33">
        <v>0</v>
      </c>
      <c r="K486" s="33">
        <v>0</v>
      </c>
      <c r="L486" s="33">
        <v>0</v>
      </c>
      <c r="M486" s="33">
        <v>0</v>
      </c>
      <c r="N486" s="33">
        <v>0</v>
      </c>
      <c r="O486" s="33">
        <v>0</v>
      </c>
      <c r="P486" s="33">
        <v>14871.8</v>
      </c>
      <c r="Q486" s="33">
        <v>13681.96</v>
      </c>
      <c r="R486" s="33">
        <v>12552.7</v>
      </c>
      <c r="S486" s="33">
        <f t="shared" si="197"/>
        <v>41106.46</v>
      </c>
      <c r="AG486" s="33"/>
      <c r="AH486" s="33"/>
      <c r="AI486" s="33"/>
      <c r="AJ486" s="33"/>
      <c r="AM486" s="44"/>
    </row>
    <row r="487" spans="1:48" ht="37.5" x14ac:dyDescent="0.25">
      <c r="A487" s="190"/>
      <c r="B487" s="177"/>
      <c r="C487" s="151" t="s">
        <v>179</v>
      </c>
      <c r="D487" s="168"/>
      <c r="E487" s="166"/>
      <c r="F487" s="165"/>
      <c r="G487" s="142" t="s">
        <v>330</v>
      </c>
      <c r="H487" s="208"/>
      <c r="I487" s="33">
        <f>I491+I495</f>
        <v>0</v>
      </c>
      <c r="J487" s="33">
        <v>0</v>
      </c>
      <c r="K487" s="33">
        <v>0</v>
      </c>
      <c r="L487" s="33">
        <v>0</v>
      </c>
      <c r="M487" s="33">
        <v>0</v>
      </c>
      <c r="N487" s="33">
        <v>0</v>
      </c>
      <c r="O487" s="33">
        <v>0</v>
      </c>
      <c r="P487" s="153">
        <f>949.26+0.01</f>
        <v>949.27</v>
      </c>
      <c r="Q487" s="33">
        <v>1520.22</v>
      </c>
      <c r="R487" s="33">
        <v>2043.47</v>
      </c>
      <c r="S487" s="33">
        <f t="shared" si="197"/>
        <v>4512.96</v>
      </c>
      <c r="AG487" s="33"/>
      <c r="AH487" s="33"/>
      <c r="AI487" s="33"/>
      <c r="AJ487" s="33"/>
      <c r="AM487" s="44"/>
    </row>
    <row r="488" spans="1:48" ht="37.5" x14ac:dyDescent="0.25">
      <c r="A488" s="190"/>
      <c r="B488" s="177"/>
      <c r="C488" s="151" t="s">
        <v>37</v>
      </c>
      <c r="D488" s="168"/>
      <c r="E488" s="166"/>
      <c r="F488" s="165"/>
      <c r="G488" s="142" t="s">
        <v>330</v>
      </c>
      <c r="H488" s="208"/>
      <c r="I488" s="33">
        <f>I492+I496</f>
        <v>0</v>
      </c>
      <c r="J488" s="33">
        <v>0</v>
      </c>
      <c r="K488" s="33">
        <v>0</v>
      </c>
      <c r="L488" s="33">
        <v>0</v>
      </c>
      <c r="M488" s="33">
        <v>0</v>
      </c>
      <c r="N488" s="33">
        <v>0</v>
      </c>
      <c r="O488" s="33">
        <v>0</v>
      </c>
      <c r="P488" s="33">
        <v>885.16</v>
      </c>
      <c r="Q488" s="33">
        <v>885.16</v>
      </c>
      <c r="R488" s="33">
        <v>885.16</v>
      </c>
      <c r="S488" s="33">
        <f t="shared" si="197"/>
        <v>2655.48</v>
      </c>
      <c r="AG488" s="33"/>
      <c r="AH488" s="33"/>
      <c r="AI488" s="33"/>
      <c r="AJ488" s="33"/>
      <c r="AM488" s="44"/>
    </row>
    <row r="489" spans="1:48" ht="38.25" hidden="1" customHeight="1" x14ac:dyDescent="0.25">
      <c r="A489" s="152"/>
      <c r="B489" s="145"/>
      <c r="C489" s="151" t="s">
        <v>186</v>
      </c>
      <c r="D489" s="168"/>
      <c r="E489" s="166"/>
      <c r="F489" s="165"/>
      <c r="G489" s="142" t="s">
        <v>330</v>
      </c>
      <c r="H489" s="206">
        <v>631</v>
      </c>
      <c r="I489" s="33">
        <f t="shared" ref="I489:O489" si="198">I490+I491+I492</f>
        <v>0</v>
      </c>
      <c r="J489" s="33">
        <f t="shared" si="198"/>
        <v>6202.25</v>
      </c>
      <c r="K489" s="33">
        <f t="shared" si="198"/>
        <v>6202.25</v>
      </c>
      <c r="L489" s="33">
        <f t="shared" si="198"/>
        <v>6202.25</v>
      </c>
      <c r="M489" s="33">
        <f t="shared" si="198"/>
        <v>6202.25</v>
      </c>
      <c r="N489" s="33">
        <f t="shared" si="198"/>
        <v>6202.25</v>
      </c>
      <c r="O489" s="33">
        <f t="shared" si="198"/>
        <v>6202.25</v>
      </c>
      <c r="P489" s="33"/>
      <c r="Q489" s="33"/>
      <c r="R489" s="33"/>
      <c r="S489" s="33">
        <f t="shared" si="197"/>
        <v>37213.5</v>
      </c>
      <c r="AG489" s="33"/>
      <c r="AH489" s="33"/>
      <c r="AI489" s="33"/>
      <c r="AJ489" s="33"/>
      <c r="AM489" s="44"/>
      <c r="AV489" s="54"/>
    </row>
    <row r="490" spans="1:48" ht="22.5" hidden="1" customHeight="1" x14ac:dyDescent="0.25">
      <c r="A490" s="152"/>
      <c r="B490" s="145"/>
      <c r="C490" s="151" t="s">
        <v>178</v>
      </c>
      <c r="D490" s="168"/>
      <c r="E490" s="166"/>
      <c r="F490" s="165"/>
      <c r="G490" s="142" t="s">
        <v>330</v>
      </c>
      <c r="H490" s="206"/>
      <c r="I490" s="33">
        <v>0</v>
      </c>
      <c r="J490" s="33">
        <v>5530.72</v>
      </c>
      <c r="K490" s="33">
        <v>5530.72</v>
      </c>
      <c r="L490" s="33">
        <v>5530.72</v>
      </c>
      <c r="M490" s="33">
        <v>5530.72</v>
      </c>
      <c r="N490" s="33">
        <v>5530.72</v>
      </c>
      <c r="O490" s="33">
        <v>5530.72</v>
      </c>
      <c r="P490" s="33"/>
      <c r="Q490" s="33"/>
      <c r="R490" s="33"/>
      <c r="S490" s="33">
        <f t="shared" si="197"/>
        <v>33184.32</v>
      </c>
      <c r="AG490" s="33">
        <f>2231.74787+0.002</f>
        <v>2231.7498700000001</v>
      </c>
      <c r="AH490" s="33"/>
      <c r="AI490" s="33"/>
      <c r="AJ490" s="33"/>
      <c r="AM490" s="44"/>
      <c r="AV490" s="54"/>
    </row>
    <row r="491" spans="1:48" ht="22.5" hidden="1" customHeight="1" x14ac:dyDescent="0.25">
      <c r="A491" s="152"/>
      <c r="B491" s="145"/>
      <c r="C491" s="151" t="s">
        <v>179</v>
      </c>
      <c r="D491" s="168"/>
      <c r="E491" s="166"/>
      <c r="F491" s="165"/>
      <c r="G491" s="142" t="s">
        <v>330</v>
      </c>
      <c r="H491" s="206"/>
      <c r="I491" s="33">
        <v>0</v>
      </c>
      <c r="J491" s="33">
        <v>291.08999999999997</v>
      </c>
      <c r="K491" s="33">
        <v>291.08999999999997</v>
      </c>
      <c r="L491" s="33">
        <v>291.08999999999997</v>
      </c>
      <c r="M491" s="33">
        <v>291.08999999999997</v>
      </c>
      <c r="N491" s="33">
        <v>291.08999999999997</v>
      </c>
      <c r="O491" s="33">
        <v>291.08999999999997</v>
      </c>
      <c r="P491" s="33"/>
      <c r="Q491" s="33"/>
      <c r="R491" s="33"/>
      <c r="S491" s="33">
        <f t="shared" si="197"/>
        <v>1746.5399999999997</v>
      </c>
      <c r="AG491" s="33">
        <f>117.46</f>
        <v>117.46</v>
      </c>
      <c r="AH491" s="33"/>
      <c r="AI491" s="33"/>
      <c r="AJ491" s="33"/>
      <c r="AM491" s="44"/>
      <c r="AV491" s="54"/>
    </row>
    <row r="492" spans="1:48" ht="22.5" hidden="1" customHeight="1" x14ac:dyDescent="0.25">
      <c r="A492" s="152"/>
      <c r="B492" s="145"/>
      <c r="C492" s="151" t="s">
        <v>37</v>
      </c>
      <c r="D492" s="168"/>
      <c r="E492" s="166"/>
      <c r="F492" s="165"/>
      <c r="G492" s="142" t="s">
        <v>330</v>
      </c>
      <c r="H492" s="206"/>
      <c r="I492" s="33">
        <v>0</v>
      </c>
      <c r="J492" s="33">
        <v>380.44</v>
      </c>
      <c r="K492" s="33">
        <v>380.44</v>
      </c>
      <c r="L492" s="33">
        <v>380.44</v>
      </c>
      <c r="M492" s="33">
        <v>380.44</v>
      </c>
      <c r="N492" s="33">
        <v>380.44</v>
      </c>
      <c r="O492" s="33">
        <v>380.44</v>
      </c>
      <c r="P492" s="33"/>
      <c r="Q492" s="33"/>
      <c r="R492" s="33"/>
      <c r="S492" s="33">
        <f t="shared" si="197"/>
        <v>2282.64</v>
      </c>
      <c r="AG492" s="33">
        <v>110.7</v>
      </c>
      <c r="AH492" s="33"/>
      <c r="AI492" s="33"/>
      <c r="AJ492" s="33"/>
      <c r="AM492" s="44"/>
      <c r="AV492" s="54"/>
    </row>
    <row r="493" spans="1:48" ht="40.5" hidden="1" customHeight="1" x14ac:dyDescent="0.25">
      <c r="A493" s="152"/>
      <c r="B493" s="145"/>
      <c r="C493" s="151" t="s">
        <v>186</v>
      </c>
      <c r="D493" s="168"/>
      <c r="E493" s="166"/>
      <c r="F493" s="165"/>
      <c r="G493" s="142" t="s">
        <v>330</v>
      </c>
      <c r="H493" s="206">
        <v>811</v>
      </c>
      <c r="I493" s="33">
        <f t="shared" ref="I493:O493" si="199">I494+I495+I496</f>
        <v>0</v>
      </c>
      <c r="J493" s="33">
        <f t="shared" si="199"/>
        <v>14342.64</v>
      </c>
      <c r="K493" s="33">
        <f t="shared" si="199"/>
        <v>14342.64</v>
      </c>
      <c r="L493" s="33">
        <f t="shared" si="199"/>
        <v>14342.64</v>
      </c>
      <c r="M493" s="33">
        <f t="shared" si="199"/>
        <v>14342.64</v>
      </c>
      <c r="N493" s="33">
        <f t="shared" si="199"/>
        <v>14342.64</v>
      </c>
      <c r="O493" s="33">
        <f t="shared" si="199"/>
        <v>14342.64</v>
      </c>
      <c r="P493" s="33"/>
      <c r="Q493" s="33"/>
      <c r="R493" s="33"/>
      <c r="S493" s="33">
        <f t="shared" si="197"/>
        <v>86055.84</v>
      </c>
      <c r="AG493" s="33"/>
      <c r="AH493" s="33"/>
      <c r="AI493" s="33"/>
      <c r="AJ493" s="33"/>
      <c r="AM493" s="44"/>
      <c r="AV493" s="44">
        <f>I493+I489</f>
        <v>0</v>
      </c>
    </row>
    <row r="494" spans="1:48" ht="22.5" hidden="1" customHeight="1" x14ac:dyDescent="0.3">
      <c r="A494" s="152"/>
      <c r="B494" s="145"/>
      <c r="C494" s="151" t="s">
        <v>178</v>
      </c>
      <c r="D494" s="168"/>
      <c r="E494" s="166"/>
      <c r="F494" s="165"/>
      <c r="G494" s="142" t="s">
        <v>330</v>
      </c>
      <c r="H494" s="206"/>
      <c r="I494" s="33">
        <v>0</v>
      </c>
      <c r="J494" s="33">
        <v>12789.72</v>
      </c>
      <c r="K494" s="33">
        <v>12789.72</v>
      </c>
      <c r="L494" s="33">
        <v>12789.72</v>
      </c>
      <c r="M494" s="33">
        <v>12789.72</v>
      </c>
      <c r="N494" s="33">
        <v>12789.72</v>
      </c>
      <c r="O494" s="33">
        <v>12789.72</v>
      </c>
      <c r="P494" s="75"/>
      <c r="Q494" s="75"/>
      <c r="R494" s="75"/>
      <c r="S494" s="33">
        <f t="shared" si="197"/>
        <v>76738.319999999992</v>
      </c>
      <c r="AG494" s="33">
        <v>26668.76</v>
      </c>
      <c r="AH494" s="75">
        <f>16536.44</f>
        <v>16536.439999999999</v>
      </c>
      <c r="AI494" s="75">
        <f>17240.84</f>
        <v>17240.84</v>
      </c>
      <c r="AJ494" s="33"/>
      <c r="AM494" s="44"/>
      <c r="AV494" s="44"/>
    </row>
    <row r="495" spans="1:48" ht="22.5" hidden="1" customHeight="1" x14ac:dyDescent="0.3">
      <c r="A495" s="152"/>
      <c r="B495" s="145"/>
      <c r="C495" s="151" t="s">
        <v>179</v>
      </c>
      <c r="D495" s="168"/>
      <c r="E495" s="166"/>
      <c r="F495" s="165"/>
      <c r="G495" s="142" t="s">
        <v>330</v>
      </c>
      <c r="H495" s="206"/>
      <c r="I495" s="33">
        <v>0</v>
      </c>
      <c r="J495" s="33">
        <v>673.15</v>
      </c>
      <c r="K495" s="33">
        <v>673.15</v>
      </c>
      <c r="L495" s="33">
        <v>673.15</v>
      </c>
      <c r="M495" s="33">
        <v>673.15</v>
      </c>
      <c r="N495" s="33">
        <v>673.15</v>
      </c>
      <c r="O495" s="33">
        <v>673.15</v>
      </c>
      <c r="P495" s="77"/>
      <c r="Q495" s="77"/>
      <c r="R495" s="77"/>
      <c r="S495" s="33">
        <f t="shared" si="197"/>
        <v>4038.9</v>
      </c>
      <c r="AG495" s="33">
        <v>1403.62</v>
      </c>
      <c r="AH495" s="75">
        <f>870.34</f>
        <v>870.34</v>
      </c>
      <c r="AI495" s="75">
        <f>907.42</f>
        <v>907.42</v>
      </c>
      <c r="AJ495" s="33"/>
      <c r="AM495" s="44"/>
      <c r="AV495" s="44">
        <f>I495+I491</f>
        <v>0</v>
      </c>
    </row>
    <row r="496" spans="1:48" ht="22.5" hidden="1" customHeight="1" x14ac:dyDescent="0.3">
      <c r="A496" s="152"/>
      <c r="B496" s="145"/>
      <c r="C496" s="151" t="s">
        <v>37</v>
      </c>
      <c r="D496" s="168"/>
      <c r="E496" s="166"/>
      <c r="F496" s="165"/>
      <c r="G496" s="142" t="s">
        <v>330</v>
      </c>
      <c r="H496" s="206"/>
      <c r="I496" s="33">
        <v>0</v>
      </c>
      <c r="J496" s="33">
        <v>879.77</v>
      </c>
      <c r="K496" s="33">
        <v>879.77</v>
      </c>
      <c r="L496" s="33">
        <v>879.77</v>
      </c>
      <c r="M496" s="33">
        <v>879.77</v>
      </c>
      <c r="N496" s="33">
        <v>879.77</v>
      </c>
      <c r="O496" s="33">
        <v>879.77</v>
      </c>
      <c r="P496" s="75"/>
      <c r="Q496" s="75"/>
      <c r="R496" s="75"/>
      <c r="S496" s="33">
        <f t="shared" si="197"/>
        <v>5278.6200000000008</v>
      </c>
      <c r="AG496" s="33">
        <f>1322.78</f>
        <v>1322.78</v>
      </c>
      <c r="AH496" s="75">
        <f>820.22</f>
        <v>820.22</v>
      </c>
      <c r="AI496" s="75">
        <f>855.16</f>
        <v>855.16</v>
      </c>
      <c r="AJ496" s="33"/>
      <c r="AM496" s="44"/>
      <c r="AV496" s="44">
        <f>I496+I492</f>
        <v>0</v>
      </c>
    </row>
    <row r="497" spans="1:48" x14ac:dyDescent="0.25">
      <c r="A497" s="190"/>
      <c r="B497" s="177"/>
      <c r="C497" s="151" t="s">
        <v>186</v>
      </c>
      <c r="D497" s="168" t="s">
        <v>29</v>
      </c>
      <c r="E497" s="166">
        <v>937</v>
      </c>
      <c r="F497" s="165" t="s">
        <v>60</v>
      </c>
      <c r="G497" s="142" t="s">
        <v>330</v>
      </c>
      <c r="H497" s="208">
        <v>810</v>
      </c>
      <c r="I497" s="33">
        <f>I498+I499+I500</f>
        <v>0</v>
      </c>
      <c r="J497" s="33">
        <v>0</v>
      </c>
      <c r="K497" s="33">
        <v>0</v>
      </c>
      <c r="L497" s="33">
        <v>0</v>
      </c>
      <c r="M497" s="33">
        <v>0</v>
      </c>
      <c r="N497" s="33">
        <v>0</v>
      </c>
      <c r="O497" s="33">
        <v>0</v>
      </c>
      <c r="P497" s="138">
        <f>P498+P499+P500</f>
        <v>16706.22</v>
      </c>
      <c r="Q497" s="138">
        <f>Q498+Q499+Q500</f>
        <v>16087.33</v>
      </c>
      <c r="R497" s="138">
        <f>R498+R499+R500</f>
        <v>15481.32</v>
      </c>
      <c r="S497" s="33">
        <f t="shared" si="197"/>
        <v>48274.87</v>
      </c>
      <c r="AG497" s="33">
        <f>9280.29121+1003.73</f>
        <v>10284.021209999999</v>
      </c>
      <c r="AH497" s="33">
        <v>802.98</v>
      </c>
      <c r="AI497" s="33">
        <v>1204.48</v>
      </c>
      <c r="AJ497" s="33">
        <f>SUM(AG497:AI497)</f>
        <v>12291.481209999998</v>
      </c>
      <c r="AM497" s="44">
        <f>I497-AG497</f>
        <v>-10284.021209999999</v>
      </c>
      <c r="AO497" s="35">
        <f>0.68+0.45+0.34+0.68+0.9+0.34+0.42+0.42</f>
        <v>4.2300000000000004</v>
      </c>
    </row>
    <row r="498" spans="1:48" ht="56.25" x14ac:dyDescent="0.25">
      <c r="A498" s="190"/>
      <c r="B498" s="177"/>
      <c r="C498" s="151" t="s">
        <v>178</v>
      </c>
      <c r="D498" s="168"/>
      <c r="E498" s="166"/>
      <c r="F498" s="165"/>
      <c r="G498" s="142" t="s">
        <v>330</v>
      </c>
      <c r="H498" s="208"/>
      <c r="I498" s="33">
        <v>0</v>
      </c>
      <c r="J498" s="33">
        <v>0</v>
      </c>
      <c r="K498" s="33">
        <v>0</v>
      </c>
      <c r="L498" s="33">
        <v>0</v>
      </c>
      <c r="M498" s="33">
        <v>0</v>
      </c>
      <c r="N498" s="33">
        <v>0</v>
      </c>
      <c r="O498" s="33">
        <v>0</v>
      </c>
      <c r="P498" s="33">
        <v>14871.8</v>
      </c>
      <c r="Q498" s="33">
        <v>13681.95</v>
      </c>
      <c r="R498" s="33">
        <v>12552.7</v>
      </c>
      <c r="S498" s="33">
        <f t="shared" si="197"/>
        <v>41106.449999999997</v>
      </c>
      <c r="AG498" s="33"/>
      <c r="AH498" s="33"/>
      <c r="AI498" s="33"/>
      <c r="AJ498" s="33"/>
      <c r="AM498" s="44"/>
      <c r="AO498" s="35">
        <f>0.3+0.92+0.72+0.12+0.8+0.83</f>
        <v>3.6900000000000004</v>
      </c>
    </row>
    <row r="499" spans="1:48" ht="37.5" x14ac:dyDescent="0.25">
      <c r="A499" s="190"/>
      <c r="B499" s="177"/>
      <c r="C499" s="151" t="s">
        <v>179</v>
      </c>
      <c r="D499" s="168"/>
      <c r="E499" s="166"/>
      <c r="F499" s="165"/>
      <c r="G499" s="142" t="s">
        <v>330</v>
      </c>
      <c r="H499" s="208"/>
      <c r="I499" s="33">
        <v>0</v>
      </c>
      <c r="J499" s="33">
        <v>0</v>
      </c>
      <c r="K499" s="33">
        <v>0</v>
      </c>
      <c r="L499" s="33">
        <v>0</v>
      </c>
      <c r="M499" s="33">
        <v>0</v>
      </c>
      <c r="N499" s="33">
        <v>0</v>
      </c>
      <c r="O499" s="33">
        <v>0</v>
      </c>
      <c r="P499" s="33">
        <v>949.26</v>
      </c>
      <c r="Q499" s="33">
        <v>1520.22</v>
      </c>
      <c r="R499" s="33">
        <v>2043.46</v>
      </c>
      <c r="S499" s="33">
        <f t="shared" si="197"/>
        <v>4512.9400000000005</v>
      </c>
      <c r="AG499" s="33"/>
      <c r="AH499" s="33"/>
      <c r="AI499" s="33"/>
      <c r="AJ499" s="33"/>
      <c r="AM499" s="44"/>
      <c r="AO499" s="35">
        <f>0.07+0.52+0.25+0.22+0.67+0.04+0.26+0.26</f>
        <v>2.29</v>
      </c>
    </row>
    <row r="500" spans="1:48" ht="37.5" x14ac:dyDescent="0.25">
      <c r="A500" s="190"/>
      <c r="B500" s="177"/>
      <c r="C500" s="151" t="s">
        <v>37</v>
      </c>
      <c r="D500" s="168"/>
      <c r="E500" s="166"/>
      <c r="F500" s="165"/>
      <c r="G500" s="142" t="s">
        <v>330</v>
      </c>
      <c r="H500" s="208"/>
      <c r="I500" s="33">
        <v>0</v>
      </c>
      <c r="J500" s="33">
        <v>0</v>
      </c>
      <c r="K500" s="33">
        <v>0</v>
      </c>
      <c r="L500" s="33">
        <v>0</v>
      </c>
      <c r="M500" s="33">
        <v>0</v>
      </c>
      <c r="N500" s="33">
        <v>0</v>
      </c>
      <c r="O500" s="33">
        <v>0</v>
      </c>
      <c r="P500" s="33">
        <v>885.16</v>
      </c>
      <c r="Q500" s="33">
        <v>885.16</v>
      </c>
      <c r="R500" s="33">
        <v>885.16</v>
      </c>
      <c r="S500" s="33">
        <f>SUM(I500:R500)</f>
        <v>2655.48</v>
      </c>
      <c r="AG500" s="33"/>
      <c r="AH500" s="33"/>
      <c r="AI500" s="33"/>
      <c r="AJ500" s="33"/>
      <c r="AM500" s="44"/>
      <c r="AO500" s="35">
        <f>0.31+0.01+0.37+0.34+0.43+0.47+0.16+0.16</f>
        <v>2.25</v>
      </c>
    </row>
    <row r="501" spans="1:48" ht="150" x14ac:dyDescent="0.3">
      <c r="A501" s="197">
        <v>4</v>
      </c>
      <c r="B501" s="181" t="s">
        <v>268</v>
      </c>
      <c r="C501" s="53" t="s">
        <v>270</v>
      </c>
      <c r="D501" s="166" t="s">
        <v>261</v>
      </c>
      <c r="E501" s="166">
        <v>911</v>
      </c>
      <c r="F501" s="165" t="s">
        <v>60</v>
      </c>
      <c r="G501" s="165" t="s">
        <v>269</v>
      </c>
      <c r="H501" s="166">
        <v>620</v>
      </c>
      <c r="I501" s="33">
        <f t="shared" ref="I501:N501" si="200">SUM(I502:I503)</f>
        <v>0</v>
      </c>
      <c r="J501" s="33">
        <f t="shared" si="200"/>
        <v>0</v>
      </c>
      <c r="K501" s="33">
        <f t="shared" si="200"/>
        <v>0</v>
      </c>
      <c r="L501" s="33">
        <f t="shared" si="200"/>
        <v>50000</v>
      </c>
      <c r="M501" s="33">
        <f t="shared" si="200"/>
        <v>0</v>
      </c>
      <c r="N501" s="33">
        <f t="shared" si="200"/>
        <v>0</v>
      </c>
      <c r="O501" s="33">
        <f>SUM(O502:O503)</f>
        <v>0</v>
      </c>
      <c r="P501" s="33">
        <f>SUM(P502:P503)</f>
        <v>0</v>
      </c>
      <c r="Q501" s="33">
        <f>SUM(Q502:Q503)</f>
        <v>0</v>
      </c>
      <c r="R501" s="33">
        <f>SUM(R502:R503)</f>
        <v>0</v>
      </c>
      <c r="S501" s="33">
        <f>SUM(I501:R501)</f>
        <v>50000</v>
      </c>
      <c r="AG501" s="52"/>
      <c r="AH501" s="78"/>
      <c r="AI501" s="78"/>
      <c r="AJ501" s="52"/>
      <c r="AM501" s="44"/>
      <c r="AV501" s="44"/>
    </row>
    <row r="502" spans="1:48" ht="37.5" x14ac:dyDescent="0.3">
      <c r="A502" s="197"/>
      <c r="B502" s="181"/>
      <c r="C502" s="151" t="s">
        <v>179</v>
      </c>
      <c r="D502" s="166"/>
      <c r="E502" s="166"/>
      <c r="F502" s="165"/>
      <c r="G502" s="165"/>
      <c r="H502" s="166"/>
      <c r="I502" s="33">
        <v>0</v>
      </c>
      <c r="J502" s="33">
        <v>0</v>
      </c>
      <c r="K502" s="33">
        <v>0</v>
      </c>
      <c r="L502" s="33">
        <v>49500</v>
      </c>
      <c r="M502" s="33">
        <v>0</v>
      </c>
      <c r="N502" s="33">
        <v>0</v>
      </c>
      <c r="O502" s="33">
        <v>0</v>
      </c>
      <c r="P502" s="33">
        <v>0</v>
      </c>
      <c r="Q502" s="33">
        <v>0</v>
      </c>
      <c r="R502" s="33">
        <v>0</v>
      </c>
      <c r="S502" s="33">
        <f>SUM(I502:R502)</f>
        <v>49500</v>
      </c>
      <c r="AG502" s="52"/>
      <c r="AH502" s="78"/>
      <c r="AI502" s="78"/>
      <c r="AJ502" s="52"/>
      <c r="AM502" s="44"/>
      <c r="AV502" s="44"/>
    </row>
    <row r="503" spans="1:48" ht="37.5" x14ac:dyDescent="0.3">
      <c r="A503" s="197"/>
      <c r="B503" s="181"/>
      <c r="C503" s="151" t="s">
        <v>37</v>
      </c>
      <c r="D503" s="166"/>
      <c r="E503" s="166"/>
      <c r="F503" s="165"/>
      <c r="G503" s="165"/>
      <c r="H503" s="166"/>
      <c r="I503" s="33">
        <v>0</v>
      </c>
      <c r="J503" s="33">
        <v>0</v>
      </c>
      <c r="K503" s="33">
        <v>0</v>
      </c>
      <c r="L503" s="33">
        <v>500</v>
      </c>
      <c r="M503" s="33">
        <v>0</v>
      </c>
      <c r="N503" s="33">
        <v>0</v>
      </c>
      <c r="O503" s="33">
        <v>0</v>
      </c>
      <c r="P503" s="33">
        <v>0</v>
      </c>
      <c r="Q503" s="33">
        <v>0</v>
      </c>
      <c r="R503" s="33">
        <v>0</v>
      </c>
      <c r="S503" s="33">
        <f>SUM(I503:R503)</f>
        <v>500</v>
      </c>
      <c r="AG503" s="52"/>
      <c r="AH503" s="78"/>
      <c r="AI503" s="78"/>
      <c r="AJ503" s="52"/>
      <c r="AM503" s="44"/>
      <c r="AV503" s="44"/>
    </row>
    <row r="504" spans="1:48" ht="75" x14ac:dyDescent="0.3">
      <c r="A504" s="193">
        <v>5</v>
      </c>
      <c r="B504" s="162" t="s">
        <v>326</v>
      </c>
      <c r="C504" s="53" t="s">
        <v>327</v>
      </c>
      <c r="D504" s="156"/>
      <c r="E504" s="156" t="s">
        <v>74</v>
      </c>
      <c r="F504" s="159" t="s">
        <v>74</v>
      </c>
      <c r="G504" s="159" t="s">
        <v>74</v>
      </c>
      <c r="H504" s="156" t="s">
        <v>74</v>
      </c>
      <c r="I504" s="33">
        <f>I507+I510</f>
        <v>0</v>
      </c>
      <c r="J504" s="33">
        <f t="shared" ref="J504:N504" si="201">J507+J510</f>
        <v>0</v>
      </c>
      <c r="K504" s="33">
        <f t="shared" si="201"/>
        <v>0</v>
      </c>
      <c r="L504" s="33">
        <f t="shared" si="201"/>
        <v>0</v>
      </c>
      <c r="M504" s="33">
        <f t="shared" si="201"/>
        <v>0</v>
      </c>
      <c r="N504" s="33">
        <f t="shared" si="201"/>
        <v>0</v>
      </c>
      <c r="O504" s="33">
        <f>O507+O510</f>
        <v>191798.99</v>
      </c>
      <c r="P504" s="33">
        <f>P505+P506</f>
        <v>1068686.8691700001</v>
      </c>
      <c r="Q504" s="33">
        <f t="shared" ref="Q504:R504" si="202">Q505+Q506</f>
        <v>404040.40403999999</v>
      </c>
      <c r="R504" s="33">
        <f t="shared" si="202"/>
        <v>404040.40403999999</v>
      </c>
      <c r="S504" s="33">
        <f>SUM(I504:R504)-0.01</f>
        <v>2068566.6572499999</v>
      </c>
      <c r="AG504" s="52"/>
      <c r="AH504" s="78"/>
      <c r="AI504" s="78"/>
      <c r="AJ504" s="52"/>
      <c r="AM504" s="44"/>
      <c r="AV504" s="44"/>
    </row>
    <row r="505" spans="1:48" ht="37.5" x14ac:dyDescent="0.3">
      <c r="A505" s="194"/>
      <c r="B505" s="163"/>
      <c r="C505" s="151" t="s">
        <v>179</v>
      </c>
      <c r="D505" s="157"/>
      <c r="E505" s="157"/>
      <c r="F505" s="160"/>
      <c r="G505" s="160"/>
      <c r="H505" s="157"/>
      <c r="I505" s="33">
        <v>0</v>
      </c>
      <c r="J505" s="33">
        <v>0</v>
      </c>
      <c r="K505" s="33">
        <v>0</v>
      </c>
      <c r="L505" s="33">
        <v>0</v>
      </c>
      <c r="M505" s="33">
        <v>0</v>
      </c>
      <c r="N505" s="33">
        <v>0</v>
      </c>
      <c r="O505" s="33">
        <f t="shared" ref="O505:O506" si="203">O508+O511</f>
        <v>189881</v>
      </c>
      <c r="P505" s="33">
        <f>P514+P517</f>
        <v>1058000</v>
      </c>
      <c r="Q505" s="33">
        <f t="shared" ref="Q505:R505" si="204">Q514+Q517</f>
        <v>400000</v>
      </c>
      <c r="R505" s="33">
        <f t="shared" si="204"/>
        <v>400000</v>
      </c>
      <c r="S505" s="33">
        <f t="shared" ref="S505:S508" si="205">SUM(I505:R505)</f>
        <v>2047881</v>
      </c>
      <c r="AG505" s="52"/>
      <c r="AH505" s="78"/>
      <c r="AI505" s="78"/>
      <c r="AJ505" s="52"/>
      <c r="AM505" s="44"/>
      <c r="AV505" s="44"/>
    </row>
    <row r="506" spans="1:48" ht="37.5" x14ac:dyDescent="0.3">
      <c r="A506" s="194"/>
      <c r="B506" s="163"/>
      <c r="C506" s="151" t="s">
        <v>37</v>
      </c>
      <c r="D506" s="158"/>
      <c r="E506" s="158"/>
      <c r="F506" s="161"/>
      <c r="G506" s="161"/>
      <c r="H506" s="158"/>
      <c r="I506" s="33">
        <v>0</v>
      </c>
      <c r="J506" s="33">
        <v>0</v>
      </c>
      <c r="K506" s="33">
        <v>0</v>
      </c>
      <c r="L506" s="33">
        <v>0</v>
      </c>
      <c r="M506" s="33">
        <v>0</v>
      </c>
      <c r="N506" s="33">
        <v>0</v>
      </c>
      <c r="O506" s="33">
        <f t="shared" si="203"/>
        <v>1917.99</v>
      </c>
      <c r="P506" s="33">
        <f>P515+P518</f>
        <v>10686.86917</v>
      </c>
      <c r="Q506" s="33">
        <f t="shared" ref="Q506:R506" si="206">Q515+Q518</f>
        <v>4040.4040399999999</v>
      </c>
      <c r="R506" s="33">
        <f t="shared" si="206"/>
        <v>4040.4040399999999</v>
      </c>
      <c r="S506" s="33">
        <f>SUM(I506:R506)-0.01</f>
        <v>20685.657250000004</v>
      </c>
      <c r="AG506" s="52"/>
      <c r="AH506" s="78"/>
      <c r="AI506" s="78"/>
      <c r="AJ506" s="52"/>
      <c r="AM506" s="44"/>
      <c r="AV506" s="44"/>
    </row>
    <row r="507" spans="1:48" x14ac:dyDescent="0.3">
      <c r="A507" s="194"/>
      <c r="B507" s="163"/>
      <c r="C507" s="151" t="s">
        <v>186</v>
      </c>
      <c r="D507" s="156" t="s">
        <v>322</v>
      </c>
      <c r="E507" s="156">
        <v>915</v>
      </c>
      <c r="F507" s="159" t="s">
        <v>60</v>
      </c>
      <c r="G507" s="159" t="s">
        <v>328</v>
      </c>
      <c r="H507" s="156">
        <v>240</v>
      </c>
      <c r="I507" s="33">
        <f t="shared" ref="I507:N507" si="207">SUM(I508:I509)</f>
        <v>0</v>
      </c>
      <c r="J507" s="33">
        <f t="shared" si="207"/>
        <v>0</v>
      </c>
      <c r="K507" s="33">
        <f t="shared" si="207"/>
        <v>0</v>
      </c>
      <c r="L507" s="33">
        <f t="shared" si="207"/>
        <v>0</v>
      </c>
      <c r="M507" s="33">
        <f t="shared" si="207"/>
        <v>0</v>
      </c>
      <c r="N507" s="33">
        <f t="shared" si="207"/>
        <v>0</v>
      </c>
      <c r="O507" s="33">
        <f>O508+O509</f>
        <v>90788.888999999996</v>
      </c>
      <c r="P507" s="33">
        <f>P508+P509</f>
        <v>0</v>
      </c>
      <c r="Q507" s="33">
        <f>Q508+Q509</f>
        <v>0</v>
      </c>
      <c r="R507" s="33">
        <v>0</v>
      </c>
      <c r="S507" s="33">
        <f t="shared" si="205"/>
        <v>90788.888999999996</v>
      </c>
      <c r="AG507" s="52"/>
      <c r="AH507" s="78"/>
      <c r="AI507" s="78"/>
      <c r="AJ507" s="52"/>
      <c r="AM507" s="44"/>
      <c r="AV507" s="44"/>
    </row>
    <row r="508" spans="1:48" ht="37.5" x14ac:dyDescent="0.3">
      <c r="A508" s="194"/>
      <c r="B508" s="163"/>
      <c r="C508" s="151" t="s">
        <v>179</v>
      </c>
      <c r="D508" s="157"/>
      <c r="E508" s="157"/>
      <c r="F508" s="160"/>
      <c r="G508" s="160"/>
      <c r="H508" s="157"/>
      <c r="I508" s="33">
        <v>0</v>
      </c>
      <c r="J508" s="33">
        <v>0</v>
      </c>
      <c r="K508" s="33">
        <v>0</v>
      </c>
      <c r="L508" s="33">
        <v>0</v>
      </c>
      <c r="M508" s="33">
        <v>0</v>
      </c>
      <c r="N508" s="33">
        <v>0</v>
      </c>
      <c r="O508" s="136">
        <v>89881</v>
      </c>
      <c r="P508" s="33">
        <v>0</v>
      </c>
      <c r="Q508" s="33">
        <v>0</v>
      </c>
      <c r="R508" s="33">
        <v>0</v>
      </c>
      <c r="S508" s="33">
        <f t="shared" si="205"/>
        <v>89881</v>
      </c>
      <c r="AG508" s="52"/>
      <c r="AH508" s="78"/>
      <c r="AI508" s="78"/>
      <c r="AJ508" s="52"/>
      <c r="AM508" s="44"/>
      <c r="AV508" s="44"/>
    </row>
    <row r="509" spans="1:48" ht="37.5" x14ac:dyDescent="0.3">
      <c r="A509" s="194"/>
      <c r="B509" s="163"/>
      <c r="C509" s="151" t="s">
        <v>37</v>
      </c>
      <c r="D509" s="158"/>
      <c r="E509" s="158"/>
      <c r="F509" s="161"/>
      <c r="G509" s="161"/>
      <c r="H509" s="158"/>
      <c r="I509" s="33">
        <v>0</v>
      </c>
      <c r="J509" s="33">
        <v>0</v>
      </c>
      <c r="K509" s="33">
        <v>0</v>
      </c>
      <c r="L509" s="33">
        <v>0</v>
      </c>
      <c r="M509" s="33">
        <v>0</v>
      </c>
      <c r="N509" s="33">
        <v>0</v>
      </c>
      <c r="O509" s="137">
        <v>907.88900000000001</v>
      </c>
      <c r="P509" s="33">
        <v>0</v>
      </c>
      <c r="Q509" s="33">
        <v>0</v>
      </c>
      <c r="R509" s="33">
        <v>0</v>
      </c>
      <c r="S509" s="33">
        <f t="shared" ref="S509:S517" si="208">SUM(I509:R509)</f>
        <v>907.88900000000001</v>
      </c>
      <c r="AG509" s="52"/>
      <c r="AH509" s="78"/>
      <c r="AI509" s="78"/>
      <c r="AJ509" s="52"/>
      <c r="AM509" s="44"/>
      <c r="AV509" s="44"/>
    </row>
    <row r="510" spans="1:48" x14ac:dyDescent="0.3">
      <c r="A510" s="194"/>
      <c r="B510" s="163"/>
      <c r="C510" s="151" t="s">
        <v>186</v>
      </c>
      <c r="D510" s="156" t="s">
        <v>261</v>
      </c>
      <c r="E510" s="156">
        <v>911</v>
      </c>
      <c r="F510" s="159" t="s">
        <v>60</v>
      </c>
      <c r="G510" s="159" t="s">
        <v>328</v>
      </c>
      <c r="H510" s="156">
        <v>620</v>
      </c>
      <c r="I510" s="33">
        <f t="shared" ref="I510:N510" si="209">SUM(I511:I512)</f>
        <v>0</v>
      </c>
      <c r="J510" s="33">
        <f t="shared" si="209"/>
        <v>0</v>
      </c>
      <c r="K510" s="33">
        <f t="shared" si="209"/>
        <v>0</v>
      </c>
      <c r="L510" s="33">
        <f t="shared" si="209"/>
        <v>0</v>
      </c>
      <c r="M510" s="33">
        <f t="shared" si="209"/>
        <v>0</v>
      </c>
      <c r="N510" s="33">
        <f t="shared" si="209"/>
        <v>0</v>
      </c>
      <c r="O510" s="33">
        <f>O511+O512</f>
        <v>101010.101</v>
      </c>
      <c r="P510" s="33">
        <f>P511+P512</f>
        <v>0</v>
      </c>
      <c r="Q510" s="33">
        <f>Q511+Q512</f>
        <v>0</v>
      </c>
      <c r="R510" s="33">
        <v>0</v>
      </c>
      <c r="S510" s="33">
        <f t="shared" si="208"/>
        <v>101010.101</v>
      </c>
      <c r="AG510" s="52"/>
      <c r="AH510" s="78"/>
      <c r="AI510" s="78"/>
      <c r="AJ510" s="52"/>
      <c r="AM510" s="44"/>
      <c r="AV510" s="44"/>
    </row>
    <row r="511" spans="1:48" ht="37.5" x14ac:dyDescent="0.3">
      <c r="A511" s="194"/>
      <c r="B511" s="163"/>
      <c r="C511" s="151" t="s">
        <v>179</v>
      </c>
      <c r="D511" s="157"/>
      <c r="E511" s="157"/>
      <c r="F511" s="160"/>
      <c r="G511" s="160"/>
      <c r="H511" s="157"/>
      <c r="I511" s="33">
        <v>0</v>
      </c>
      <c r="J511" s="33">
        <v>0</v>
      </c>
      <c r="K511" s="33">
        <v>0</v>
      </c>
      <c r="L511" s="33">
        <v>0</v>
      </c>
      <c r="M511" s="33">
        <v>0</v>
      </c>
      <c r="N511" s="33">
        <v>0</v>
      </c>
      <c r="O511" s="137">
        <v>100000</v>
      </c>
      <c r="P511" s="137">
        <v>0</v>
      </c>
      <c r="Q511" s="33">
        <v>0</v>
      </c>
      <c r="R511" s="33">
        <v>0</v>
      </c>
      <c r="S511" s="33">
        <f t="shared" si="208"/>
        <v>100000</v>
      </c>
      <c r="AG511" s="52"/>
      <c r="AH511" s="78"/>
      <c r="AI511" s="78"/>
      <c r="AJ511" s="52"/>
      <c r="AM511" s="44"/>
      <c r="AV511" s="44"/>
    </row>
    <row r="512" spans="1:48" ht="37.5" x14ac:dyDescent="0.3">
      <c r="A512" s="195"/>
      <c r="B512" s="163"/>
      <c r="C512" s="151" t="s">
        <v>37</v>
      </c>
      <c r="D512" s="158"/>
      <c r="E512" s="158"/>
      <c r="F512" s="161"/>
      <c r="G512" s="161"/>
      <c r="H512" s="158"/>
      <c r="I512" s="33">
        <v>0</v>
      </c>
      <c r="J512" s="33">
        <v>0</v>
      </c>
      <c r="K512" s="33">
        <v>0</v>
      </c>
      <c r="L512" s="33">
        <v>0</v>
      </c>
      <c r="M512" s="33">
        <v>0</v>
      </c>
      <c r="N512" s="33">
        <v>0</v>
      </c>
      <c r="O512" s="137">
        <v>1010.101</v>
      </c>
      <c r="P512" s="137">
        <v>0</v>
      </c>
      <c r="Q512" s="33">
        <v>0</v>
      </c>
      <c r="R512" s="33">
        <v>0</v>
      </c>
      <c r="S512" s="33">
        <f t="shared" si="208"/>
        <v>1010.101</v>
      </c>
      <c r="AG512" s="52"/>
      <c r="AH512" s="78"/>
      <c r="AI512" s="78"/>
      <c r="AJ512" s="52"/>
      <c r="AM512" s="44"/>
      <c r="AV512" s="44"/>
    </row>
    <row r="513" spans="1:79" x14ac:dyDescent="0.3">
      <c r="A513" s="194"/>
      <c r="B513" s="163"/>
      <c r="C513" s="151" t="s">
        <v>186</v>
      </c>
      <c r="D513" s="156" t="s">
        <v>322</v>
      </c>
      <c r="E513" s="156">
        <v>915</v>
      </c>
      <c r="F513" s="159" t="s">
        <v>60</v>
      </c>
      <c r="G513" s="159" t="s">
        <v>341</v>
      </c>
      <c r="H513" s="156">
        <v>240</v>
      </c>
      <c r="I513" s="33">
        <f t="shared" ref="I513" si="210">SUM(I514:I515)</f>
        <v>0</v>
      </c>
      <c r="J513" s="33">
        <f t="shared" ref="J513" si="211">SUM(J514:J515)</f>
        <v>0</v>
      </c>
      <c r="K513" s="33">
        <f t="shared" ref="K513" si="212">SUM(K514:K515)</f>
        <v>0</v>
      </c>
      <c r="L513" s="33">
        <f t="shared" ref="L513" si="213">SUM(L514:L515)</f>
        <v>0</v>
      </c>
      <c r="M513" s="33">
        <f t="shared" ref="M513" si="214">SUM(M514:M515)</f>
        <v>0</v>
      </c>
      <c r="N513" s="33">
        <f t="shared" ref="N513" si="215">SUM(N514:N515)</f>
        <v>0</v>
      </c>
      <c r="O513" s="33">
        <f>O514+O515</f>
        <v>0</v>
      </c>
      <c r="P513" s="33">
        <f>P514+P515</f>
        <v>917171.71716999996</v>
      </c>
      <c r="Q513" s="33">
        <f>Q514+Q515</f>
        <v>404040.40403999999</v>
      </c>
      <c r="R513" s="33">
        <f>R514+R515</f>
        <v>404040.40403999999</v>
      </c>
      <c r="S513" s="33">
        <f>SUM(I513:R513)-0.01</f>
        <v>1725252.5152499999</v>
      </c>
      <c r="AG513" s="52"/>
      <c r="AH513" s="78"/>
      <c r="AI513" s="78"/>
      <c r="AJ513" s="52"/>
      <c r="AM513" s="44"/>
      <c r="AV513" s="44"/>
    </row>
    <row r="514" spans="1:79" ht="37.5" x14ac:dyDescent="0.3">
      <c r="A514" s="194"/>
      <c r="B514" s="163"/>
      <c r="C514" s="151" t="s">
        <v>179</v>
      </c>
      <c r="D514" s="157"/>
      <c r="E514" s="157"/>
      <c r="F514" s="160"/>
      <c r="G514" s="160"/>
      <c r="H514" s="157"/>
      <c r="I514" s="33">
        <v>0</v>
      </c>
      <c r="J514" s="33">
        <v>0</v>
      </c>
      <c r="K514" s="33">
        <v>0</v>
      </c>
      <c r="L514" s="33">
        <v>0</v>
      </c>
      <c r="M514" s="33">
        <v>0</v>
      </c>
      <c r="N514" s="33">
        <v>0</v>
      </c>
      <c r="O514" s="136">
        <v>0</v>
      </c>
      <c r="P514" s="33">
        <v>908000</v>
      </c>
      <c r="Q514" s="33">
        <v>400000</v>
      </c>
      <c r="R514" s="33">
        <v>400000</v>
      </c>
      <c r="S514" s="33">
        <f t="shared" si="208"/>
        <v>1708000</v>
      </c>
      <c r="AG514" s="52"/>
      <c r="AH514" s="78"/>
      <c r="AI514" s="78"/>
      <c r="AJ514" s="52"/>
      <c r="AM514" s="44"/>
      <c r="AV514" s="44"/>
    </row>
    <row r="515" spans="1:79" ht="37.5" x14ac:dyDescent="0.3">
      <c r="A515" s="194"/>
      <c r="B515" s="163"/>
      <c r="C515" s="151" t="s">
        <v>37</v>
      </c>
      <c r="D515" s="158"/>
      <c r="E515" s="158"/>
      <c r="F515" s="161"/>
      <c r="G515" s="161"/>
      <c r="H515" s="158"/>
      <c r="I515" s="33">
        <v>0</v>
      </c>
      <c r="J515" s="33">
        <v>0</v>
      </c>
      <c r="K515" s="33">
        <v>0</v>
      </c>
      <c r="L515" s="33">
        <v>0</v>
      </c>
      <c r="M515" s="33">
        <v>0</v>
      </c>
      <c r="N515" s="33">
        <v>0</v>
      </c>
      <c r="O515" s="137">
        <v>0</v>
      </c>
      <c r="P515" s="33">
        <v>9171.7171699999999</v>
      </c>
      <c r="Q515" s="33">
        <v>4040.4040399999999</v>
      </c>
      <c r="R515" s="33">
        <v>4040.4040399999999</v>
      </c>
      <c r="S515" s="33">
        <f>SUM(I515:R515)-0.01</f>
        <v>17252.51525</v>
      </c>
      <c r="AG515" s="52"/>
      <c r="AH515" s="78"/>
      <c r="AI515" s="78"/>
      <c r="AJ515" s="52"/>
      <c r="AM515" s="44"/>
      <c r="AV515" s="44"/>
    </row>
    <row r="516" spans="1:79" x14ac:dyDescent="0.3">
      <c r="A516" s="194"/>
      <c r="B516" s="163"/>
      <c r="C516" s="151" t="s">
        <v>186</v>
      </c>
      <c r="D516" s="156" t="s">
        <v>261</v>
      </c>
      <c r="E516" s="156">
        <v>911</v>
      </c>
      <c r="F516" s="159" t="s">
        <v>60</v>
      </c>
      <c r="G516" s="159" t="s">
        <v>341</v>
      </c>
      <c r="H516" s="156">
        <v>620</v>
      </c>
      <c r="I516" s="33">
        <f t="shared" ref="I516:N516" si="216">SUM(I517:I518)</f>
        <v>0</v>
      </c>
      <c r="J516" s="33">
        <f t="shared" si="216"/>
        <v>0</v>
      </c>
      <c r="K516" s="33">
        <f t="shared" si="216"/>
        <v>0</v>
      </c>
      <c r="L516" s="33">
        <f t="shared" si="216"/>
        <v>0</v>
      </c>
      <c r="M516" s="33">
        <f t="shared" si="216"/>
        <v>0</v>
      </c>
      <c r="N516" s="33">
        <f t="shared" si="216"/>
        <v>0</v>
      </c>
      <c r="O516" s="33">
        <f>O517+O518</f>
        <v>0</v>
      </c>
      <c r="P516" s="33">
        <f>P517+P518</f>
        <v>151515.152</v>
      </c>
      <c r="Q516" s="33">
        <f>Q517+Q518</f>
        <v>0</v>
      </c>
      <c r="R516" s="33">
        <v>0</v>
      </c>
      <c r="S516" s="33">
        <f t="shared" si="208"/>
        <v>151515.152</v>
      </c>
      <c r="AG516" s="52"/>
      <c r="AH516" s="78"/>
      <c r="AI516" s="78"/>
      <c r="AJ516" s="52"/>
      <c r="AM516" s="44"/>
      <c r="AV516" s="44"/>
    </row>
    <row r="517" spans="1:79" ht="37.5" x14ac:dyDescent="0.3">
      <c r="A517" s="194"/>
      <c r="B517" s="163"/>
      <c r="C517" s="151" t="s">
        <v>179</v>
      </c>
      <c r="D517" s="157"/>
      <c r="E517" s="157"/>
      <c r="F517" s="160"/>
      <c r="G517" s="160"/>
      <c r="H517" s="157"/>
      <c r="I517" s="33">
        <v>0</v>
      </c>
      <c r="J517" s="33">
        <v>0</v>
      </c>
      <c r="K517" s="33">
        <v>0</v>
      </c>
      <c r="L517" s="33">
        <v>0</v>
      </c>
      <c r="M517" s="33">
        <v>0</v>
      </c>
      <c r="N517" s="33">
        <v>0</v>
      </c>
      <c r="O517" s="137">
        <v>0</v>
      </c>
      <c r="P517" s="137">
        <v>150000</v>
      </c>
      <c r="Q517" s="33">
        <v>0</v>
      </c>
      <c r="R517" s="33">
        <v>0</v>
      </c>
      <c r="S517" s="33">
        <f t="shared" si="208"/>
        <v>150000</v>
      </c>
      <c r="AG517" s="52"/>
      <c r="AH517" s="78"/>
      <c r="AI517" s="78"/>
      <c r="AJ517" s="52"/>
      <c r="AM517" s="44"/>
      <c r="AV517" s="44"/>
    </row>
    <row r="518" spans="1:79" ht="37.5" x14ac:dyDescent="0.3">
      <c r="A518" s="195"/>
      <c r="B518" s="164"/>
      <c r="C518" s="151" t="s">
        <v>37</v>
      </c>
      <c r="D518" s="158"/>
      <c r="E518" s="158"/>
      <c r="F518" s="161"/>
      <c r="G518" s="161"/>
      <c r="H518" s="158"/>
      <c r="I518" s="33">
        <v>0</v>
      </c>
      <c r="J518" s="33">
        <v>0</v>
      </c>
      <c r="K518" s="33">
        <v>0</v>
      </c>
      <c r="L518" s="33">
        <v>0</v>
      </c>
      <c r="M518" s="33">
        <v>0</v>
      </c>
      <c r="N518" s="33">
        <v>0</v>
      </c>
      <c r="O518" s="137">
        <v>0</v>
      </c>
      <c r="P518" s="137">
        <v>1515.152</v>
      </c>
      <c r="Q518" s="33">
        <v>0</v>
      </c>
      <c r="R518" s="33">
        <v>0</v>
      </c>
      <c r="S518" s="33">
        <f t="shared" ref="S518" si="217">SUM(I518:R518)</f>
        <v>1515.152</v>
      </c>
      <c r="AG518" s="52"/>
      <c r="AH518" s="78"/>
      <c r="AI518" s="78"/>
      <c r="AJ518" s="52"/>
      <c r="AM518" s="44"/>
      <c r="AV518" s="44"/>
    </row>
    <row r="519" spans="1:79" x14ac:dyDescent="0.25">
      <c r="A519" s="197">
        <v>5</v>
      </c>
      <c r="B519" s="198" t="s">
        <v>33</v>
      </c>
      <c r="C519" s="171" t="s">
        <v>200</v>
      </c>
      <c r="D519" s="140" t="s">
        <v>10</v>
      </c>
      <c r="E519" s="142" t="s">
        <v>74</v>
      </c>
      <c r="F519" s="142" t="s">
        <v>74</v>
      </c>
      <c r="G519" s="142" t="s">
        <v>194</v>
      </c>
      <c r="H519" s="142" t="s">
        <v>74</v>
      </c>
      <c r="I519" s="33">
        <f>I520+I523+I524+I521</f>
        <v>2267982.69</v>
      </c>
      <c r="J519" s="33">
        <f>J520+J523+J524+J522</f>
        <v>18837.93</v>
      </c>
      <c r="K519" s="33">
        <f t="shared" ref="K519:Q519" si="218">K520+K523+K524+K521</f>
        <v>0</v>
      </c>
      <c r="L519" s="33">
        <f t="shared" si="218"/>
        <v>0</v>
      </c>
      <c r="M519" s="33">
        <f t="shared" si="218"/>
        <v>0</v>
      </c>
      <c r="N519" s="33">
        <f t="shared" si="218"/>
        <v>0</v>
      </c>
      <c r="O519" s="33">
        <f t="shared" si="218"/>
        <v>0</v>
      </c>
      <c r="P519" s="33">
        <f t="shared" si="218"/>
        <v>0</v>
      </c>
      <c r="Q519" s="33">
        <f t="shared" si="218"/>
        <v>0</v>
      </c>
      <c r="R519" s="33">
        <v>0</v>
      </c>
      <c r="S519" s="33">
        <f t="shared" ref="S519:S543" si="219">SUM(I519:P519)</f>
        <v>2286820.62</v>
      </c>
      <c r="AG519" s="52"/>
      <c r="AH519" s="52"/>
      <c r="AI519" s="52"/>
      <c r="AJ519" s="52"/>
      <c r="AM519" s="44"/>
      <c r="AV519" s="44"/>
    </row>
    <row r="520" spans="1:79" ht="37.5" x14ac:dyDescent="0.25">
      <c r="A520" s="197"/>
      <c r="B520" s="198"/>
      <c r="C520" s="171"/>
      <c r="D520" s="140" t="s">
        <v>30</v>
      </c>
      <c r="E520" s="141">
        <v>915</v>
      </c>
      <c r="F520" s="142" t="s">
        <v>74</v>
      </c>
      <c r="G520" s="142" t="s">
        <v>74</v>
      </c>
      <c r="H520" s="142" t="s">
        <v>74</v>
      </c>
      <c r="I520" s="33">
        <f>I525+I581</f>
        <v>2058382.88</v>
      </c>
      <c r="J520" s="33">
        <f>J525+J569</f>
        <v>7067.4</v>
      </c>
      <c r="K520" s="33">
        <f t="shared" ref="K520:P520" si="220">K525+K581</f>
        <v>0</v>
      </c>
      <c r="L520" s="33">
        <f t="shared" si="220"/>
        <v>0</v>
      </c>
      <c r="M520" s="33">
        <f t="shared" si="220"/>
        <v>0</v>
      </c>
      <c r="N520" s="33">
        <f t="shared" si="220"/>
        <v>0</v>
      </c>
      <c r="O520" s="33">
        <f t="shared" si="220"/>
        <v>0</v>
      </c>
      <c r="P520" s="33">
        <f t="shared" si="220"/>
        <v>0</v>
      </c>
      <c r="Q520" s="33">
        <v>0</v>
      </c>
      <c r="R520" s="33">
        <v>0</v>
      </c>
      <c r="S520" s="33">
        <f t="shared" si="219"/>
        <v>2065450.2799999998</v>
      </c>
      <c r="AG520" s="52"/>
      <c r="AH520" s="52"/>
      <c r="AI520" s="52"/>
      <c r="AJ520" s="52"/>
      <c r="AM520" s="44"/>
      <c r="AV520" s="44"/>
    </row>
    <row r="521" spans="1:79" ht="37.5" x14ac:dyDescent="0.25">
      <c r="A521" s="197"/>
      <c r="B521" s="198"/>
      <c r="C521" s="171"/>
      <c r="D521" s="140" t="s">
        <v>252</v>
      </c>
      <c r="E521" s="141">
        <v>900</v>
      </c>
      <c r="F521" s="142" t="s">
        <v>74</v>
      </c>
      <c r="G521" s="142" t="s">
        <v>74</v>
      </c>
      <c r="H521" s="142" t="s">
        <v>74</v>
      </c>
      <c r="I521" s="33">
        <f>I556+I594</f>
        <v>191699.81</v>
      </c>
      <c r="J521" s="33">
        <v>0</v>
      </c>
      <c r="K521" s="33">
        <f t="shared" ref="K521:P521" si="221">K556+K594</f>
        <v>0</v>
      </c>
      <c r="L521" s="33">
        <f t="shared" si="221"/>
        <v>0</v>
      </c>
      <c r="M521" s="33">
        <f t="shared" si="221"/>
        <v>0</v>
      </c>
      <c r="N521" s="33">
        <f t="shared" si="221"/>
        <v>0</v>
      </c>
      <c r="O521" s="33">
        <f t="shared" si="221"/>
        <v>0</v>
      </c>
      <c r="P521" s="33">
        <f t="shared" si="221"/>
        <v>0</v>
      </c>
      <c r="Q521" s="33">
        <v>0</v>
      </c>
      <c r="R521" s="33">
        <v>0</v>
      </c>
      <c r="S521" s="33">
        <f t="shared" si="219"/>
        <v>191699.81</v>
      </c>
      <c r="AG521" s="52"/>
      <c r="AH521" s="52"/>
      <c r="AI521" s="52"/>
      <c r="AJ521" s="52"/>
      <c r="AM521" s="44"/>
      <c r="AV521" s="44"/>
    </row>
    <row r="522" spans="1:79" ht="56.25" x14ac:dyDescent="0.25">
      <c r="A522" s="197"/>
      <c r="B522" s="198"/>
      <c r="C522" s="171"/>
      <c r="D522" s="140" t="s">
        <v>250</v>
      </c>
      <c r="E522" s="141">
        <v>900</v>
      </c>
      <c r="F522" s="142" t="s">
        <v>74</v>
      </c>
      <c r="G522" s="142" t="s">
        <v>74</v>
      </c>
      <c r="H522" s="142" t="s">
        <v>74</v>
      </c>
      <c r="I522" s="33">
        <v>0</v>
      </c>
      <c r="J522" s="33">
        <f>J557+J594</f>
        <v>4999.9399999999996</v>
      </c>
      <c r="K522" s="33">
        <v>0</v>
      </c>
      <c r="L522" s="33">
        <v>0</v>
      </c>
      <c r="M522" s="33">
        <v>0</v>
      </c>
      <c r="N522" s="33">
        <v>0</v>
      </c>
      <c r="O522" s="33">
        <v>0</v>
      </c>
      <c r="P522" s="33">
        <v>0</v>
      </c>
      <c r="Q522" s="33">
        <v>0</v>
      </c>
      <c r="R522" s="33">
        <v>0</v>
      </c>
      <c r="S522" s="33">
        <f>SUM(I522:R522)</f>
        <v>4999.9399999999996</v>
      </c>
      <c r="AG522" s="52"/>
      <c r="AH522" s="52"/>
      <c r="AI522" s="52"/>
      <c r="AJ522" s="52"/>
      <c r="AM522" s="44"/>
      <c r="AV522" s="44"/>
    </row>
    <row r="523" spans="1:79" ht="37.5" x14ac:dyDescent="0.25">
      <c r="A523" s="197"/>
      <c r="B523" s="198"/>
      <c r="C523" s="171"/>
      <c r="D523" s="140" t="s">
        <v>157</v>
      </c>
      <c r="E523" s="141">
        <v>908</v>
      </c>
      <c r="F523" s="142" t="s">
        <v>74</v>
      </c>
      <c r="G523" s="142" t="s">
        <v>74</v>
      </c>
      <c r="H523" s="142" t="s">
        <v>74</v>
      </c>
      <c r="I523" s="33">
        <f>I555</f>
        <v>5400</v>
      </c>
      <c r="J523" s="33">
        <f t="shared" ref="J523:P523" si="222">J559</f>
        <v>0</v>
      </c>
      <c r="K523" s="33">
        <f t="shared" si="222"/>
        <v>0</v>
      </c>
      <c r="L523" s="33">
        <f t="shared" si="222"/>
        <v>0</v>
      </c>
      <c r="M523" s="33">
        <f t="shared" si="222"/>
        <v>0</v>
      </c>
      <c r="N523" s="33">
        <f t="shared" si="222"/>
        <v>0</v>
      </c>
      <c r="O523" s="33">
        <f t="shared" si="222"/>
        <v>0</v>
      </c>
      <c r="P523" s="33">
        <f t="shared" si="222"/>
        <v>0</v>
      </c>
      <c r="Q523" s="33">
        <v>0</v>
      </c>
      <c r="R523" s="33">
        <v>0</v>
      </c>
      <c r="S523" s="33">
        <f t="shared" si="219"/>
        <v>5400</v>
      </c>
      <c r="AG523" s="52"/>
      <c r="AH523" s="52"/>
      <c r="AI523" s="52"/>
      <c r="AJ523" s="52"/>
      <c r="AM523" s="44"/>
      <c r="AV523" s="44"/>
    </row>
    <row r="524" spans="1:79" ht="56.25" x14ac:dyDescent="0.25">
      <c r="A524" s="197"/>
      <c r="B524" s="198"/>
      <c r="C524" s="171"/>
      <c r="D524" s="140" t="s">
        <v>175</v>
      </c>
      <c r="E524" s="141">
        <v>918</v>
      </c>
      <c r="F524" s="142" t="s">
        <v>74</v>
      </c>
      <c r="G524" s="142" t="s">
        <v>74</v>
      </c>
      <c r="H524" s="142" t="s">
        <v>74</v>
      </c>
      <c r="I524" s="33">
        <f t="shared" ref="I524:N524" si="223">I567</f>
        <v>12500</v>
      </c>
      <c r="J524" s="33">
        <f t="shared" si="223"/>
        <v>6770.59</v>
      </c>
      <c r="K524" s="33">
        <f t="shared" si="223"/>
        <v>0</v>
      </c>
      <c r="L524" s="33">
        <f t="shared" si="223"/>
        <v>0</v>
      </c>
      <c r="M524" s="33">
        <f t="shared" si="223"/>
        <v>0</v>
      </c>
      <c r="N524" s="33">
        <f t="shared" si="223"/>
        <v>0</v>
      </c>
      <c r="O524" s="33">
        <f>O567</f>
        <v>0</v>
      </c>
      <c r="P524" s="33">
        <f>P567</f>
        <v>0</v>
      </c>
      <c r="Q524" s="33">
        <v>0</v>
      </c>
      <c r="R524" s="33">
        <v>0</v>
      </c>
      <c r="S524" s="33">
        <f t="shared" si="219"/>
        <v>19270.59</v>
      </c>
      <c r="AG524" s="52"/>
      <c r="AH524" s="52"/>
      <c r="AI524" s="52"/>
      <c r="AJ524" s="52"/>
      <c r="AM524" s="44"/>
      <c r="AV524" s="44"/>
    </row>
    <row r="525" spans="1:79" ht="175.5" customHeight="1" x14ac:dyDescent="0.25">
      <c r="A525" s="197">
        <v>6</v>
      </c>
      <c r="B525" s="173" t="s">
        <v>198</v>
      </c>
      <c r="C525" s="55" t="s">
        <v>231</v>
      </c>
      <c r="D525" s="147" t="s">
        <v>10</v>
      </c>
      <c r="E525" s="141" t="s">
        <v>74</v>
      </c>
      <c r="F525" s="142" t="s">
        <v>74</v>
      </c>
      <c r="G525" s="142" t="s">
        <v>74</v>
      </c>
      <c r="H525" s="142" t="s">
        <v>74</v>
      </c>
      <c r="I525" s="33">
        <f>I526+I527</f>
        <v>614381.98</v>
      </c>
      <c r="J525" s="33">
        <f t="shared" ref="J525:O525" si="224">J528+J533</f>
        <v>0</v>
      </c>
      <c r="K525" s="33">
        <f t="shared" si="224"/>
        <v>0</v>
      </c>
      <c r="L525" s="33">
        <f t="shared" si="224"/>
        <v>0</v>
      </c>
      <c r="M525" s="33">
        <f t="shared" si="224"/>
        <v>0</v>
      </c>
      <c r="N525" s="33">
        <f t="shared" si="224"/>
        <v>0</v>
      </c>
      <c r="O525" s="33">
        <f t="shared" si="224"/>
        <v>0</v>
      </c>
      <c r="P525" s="33">
        <f>P528+P533</f>
        <v>0</v>
      </c>
      <c r="Q525" s="33">
        <f>Q528+Q533</f>
        <v>0</v>
      </c>
      <c r="R525" s="33">
        <v>0</v>
      </c>
      <c r="S525" s="33">
        <f t="shared" si="219"/>
        <v>614381.98</v>
      </c>
      <c r="AG525" s="52"/>
      <c r="AH525" s="52"/>
      <c r="AI525" s="52"/>
      <c r="AJ525" s="52"/>
      <c r="AM525" s="44"/>
      <c r="AU525" s="44">
        <f>S525-75000</f>
        <v>539381.98</v>
      </c>
    </row>
    <row r="526" spans="1:79" ht="37.5" x14ac:dyDescent="0.25">
      <c r="A526" s="197"/>
      <c r="B526" s="173"/>
      <c r="C526" s="55" t="s">
        <v>195</v>
      </c>
      <c r="D526" s="147"/>
      <c r="E526" s="141"/>
      <c r="F526" s="142"/>
      <c r="G526" s="142" t="s">
        <v>192</v>
      </c>
      <c r="H526" s="142"/>
      <c r="I526" s="33">
        <f>I529</f>
        <v>597403.69999999995</v>
      </c>
      <c r="J526" s="33">
        <f t="shared" ref="J526:Q526" si="225">J528</f>
        <v>0</v>
      </c>
      <c r="K526" s="33">
        <f t="shared" si="225"/>
        <v>0</v>
      </c>
      <c r="L526" s="33">
        <f t="shared" si="225"/>
        <v>0</v>
      </c>
      <c r="M526" s="33">
        <f t="shared" si="225"/>
        <v>0</v>
      </c>
      <c r="N526" s="33">
        <f t="shared" si="225"/>
        <v>0</v>
      </c>
      <c r="O526" s="33">
        <f t="shared" si="225"/>
        <v>0</v>
      </c>
      <c r="P526" s="33">
        <f t="shared" si="225"/>
        <v>0</v>
      </c>
      <c r="Q526" s="33">
        <f t="shared" si="225"/>
        <v>0</v>
      </c>
      <c r="R526" s="33">
        <v>0</v>
      </c>
      <c r="S526" s="33">
        <f t="shared" si="219"/>
        <v>597403.69999999995</v>
      </c>
      <c r="AG526" s="52"/>
      <c r="AH526" s="52"/>
      <c r="AI526" s="52"/>
      <c r="AJ526" s="52"/>
      <c r="AM526" s="44"/>
      <c r="CA526" s="35" t="s">
        <v>151</v>
      </c>
    </row>
    <row r="527" spans="1:79" ht="37.5" x14ac:dyDescent="0.25">
      <c r="A527" s="197"/>
      <c r="B527" s="173"/>
      <c r="C527" s="55" t="s">
        <v>196</v>
      </c>
      <c r="D527" s="147"/>
      <c r="E527" s="141"/>
      <c r="F527" s="142"/>
      <c r="G527" s="142" t="s">
        <v>193</v>
      </c>
      <c r="H527" s="142"/>
      <c r="I527" s="33">
        <f t="shared" ref="I527:N527" si="226">I533</f>
        <v>16978.28</v>
      </c>
      <c r="J527" s="33">
        <f t="shared" si="226"/>
        <v>0</v>
      </c>
      <c r="K527" s="33">
        <f t="shared" si="226"/>
        <v>0</v>
      </c>
      <c r="L527" s="33">
        <f t="shared" si="226"/>
        <v>0</v>
      </c>
      <c r="M527" s="33">
        <f t="shared" si="226"/>
        <v>0</v>
      </c>
      <c r="N527" s="33">
        <f t="shared" si="226"/>
        <v>0</v>
      </c>
      <c r="O527" s="33">
        <f>O533</f>
        <v>0</v>
      </c>
      <c r="P527" s="33">
        <f>P533</f>
        <v>0</v>
      </c>
      <c r="Q527" s="33">
        <f>Q533</f>
        <v>0</v>
      </c>
      <c r="R527" s="33">
        <v>0</v>
      </c>
      <c r="S527" s="33">
        <f t="shared" si="219"/>
        <v>16978.28</v>
      </c>
      <c r="AG527" s="52"/>
      <c r="AH527" s="52"/>
      <c r="AI527" s="52"/>
      <c r="AJ527" s="52"/>
      <c r="AM527" s="44"/>
    </row>
    <row r="528" spans="1:79" ht="31.5" customHeight="1" x14ac:dyDescent="0.25">
      <c r="A528" s="197"/>
      <c r="B528" s="173"/>
      <c r="C528" s="205" t="s">
        <v>195</v>
      </c>
      <c r="D528" s="147" t="s">
        <v>10</v>
      </c>
      <c r="E528" s="141" t="s">
        <v>74</v>
      </c>
      <c r="F528" s="141" t="s">
        <v>74</v>
      </c>
      <c r="G528" s="142" t="s">
        <v>192</v>
      </c>
      <c r="H528" s="141" t="s">
        <v>74</v>
      </c>
      <c r="I528" s="33">
        <f>I529</f>
        <v>597403.69999999995</v>
      </c>
      <c r="J528" s="33">
        <f t="shared" ref="J528:Q528" si="227">J541+J544+J546+J550+J552</f>
        <v>0</v>
      </c>
      <c r="K528" s="33">
        <f t="shared" si="227"/>
        <v>0</v>
      </c>
      <c r="L528" s="33">
        <f t="shared" si="227"/>
        <v>0</v>
      </c>
      <c r="M528" s="33">
        <f t="shared" si="227"/>
        <v>0</v>
      </c>
      <c r="N528" s="33">
        <f t="shared" si="227"/>
        <v>0</v>
      </c>
      <c r="O528" s="33">
        <f t="shared" si="227"/>
        <v>0</v>
      </c>
      <c r="P528" s="33">
        <f t="shared" si="227"/>
        <v>0</v>
      </c>
      <c r="Q528" s="33">
        <f t="shared" si="227"/>
        <v>0</v>
      </c>
      <c r="R528" s="33">
        <v>0</v>
      </c>
      <c r="S528" s="33">
        <f t="shared" si="219"/>
        <v>597403.69999999995</v>
      </c>
      <c r="AG528" s="52"/>
      <c r="AH528" s="52"/>
      <c r="AI528" s="52"/>
      <c r="AJ528" s="52"/>
      <c r="AM528" s="44"/>
    </row>
    <row r="529" spans="1:49" ht="28.5" customHeight="1" x14ac:dyDescent="0.25">
      <c r="A529" s="197"/>
      <c r="B529" s="173"/>
      <c r="C529" s="171"/>
      <c r="D529" s="168" t="s">
        <v>30</v>
      </c>
      <c r="E529" s="166">
        <v>915</v>
      </c>
      <c r="F529" s="142" t="s">
        <v>74</v>
      </c>
      <c r="G529" s="142" t="s">
        <v>192</v>
      </c>
      <c r="H529" s="141" t="s">
        <v>74</v>
      </c>
      <c r="I529" s="33">
        <f>I530+I531+I532</f>
        <v>597403.69999999995</v>
      </c>
      <c r="J529" s="33">
        <f t="shared" ref="J529:O529" si="228">J544+J546+J550+J551</f>
        <v>0</v>
      </c>
      <c r="K529" s="33">
        <f t="shared" si="228"/>
        <v>0</v>
      </c>
      <c r="L529" s="33">
        <f t="shared" si="228"/>
        <v>0</v>
      </c>
      <c r="M529" s="33">
        <f t="shared" si="228"/>
        <v>0</v>
      </c>
      <c r="N529" s="33">
        <f t="shared" si="228"/>
        <v>0</v>
      </c>
      <c r="O529" s="33">
        <f t="shared" si="228"/>
        <v>0</v>
      </c>
      <c r="P529" s="33">
        <f>P544+P546+P550+P551</f>
        <v>0</v>
      </c>
      <c r="Q529" s="33">
        <f>Q544+Q546+Q550+Q551</f>
        <v>0</v>
      </c>
      <c r="R529" s="33">
        <v>0</v>
      </c>
      <c r="S529" s="33">
        <f t="shared" si="219"/>
        <v>597403.69999999995</v>
      </c>
      <c r="AG529" s="52"/>
      <c r="AH529" s="52"/>
      <c r="AI529" s="52"/>
      <c r="AJ529" s="52"/>
      <c r="AM529" s="44"/>
    </row>
    <row r="530" spans="1:49" ht="27.75" customHeight="1" x14ac:dyDescent="0.25">
      <c r="A530" s="197"/>
      <c r="B530" s="173"/>
      <c r="C530" s="171"/>
      <c r="D530" s="168"/>
      <c r="E530" s="166"/>
      <c r="F530" s="142" t="s">
        <v>60</v>
      </c>
      <c r="G530" s="142" t="s">
        <v>192</v>
      </c>
      <c r="H530" s="142" t="s">
        <v>263</v>
      </c>
      <c r="I530" s="33">
        <f>420040.42+69300.57</f>
        <v>489340.99</v>
      </c>
      <c r="J530" s="33">
        <f t="shared" ref="J530:O530" si="229">J547</f>
        <v>0</v>
      </c>
      <c r="K530" s="33">
        <f t="shared" si="229"/>
        <v>0</v>
      </c>
      <c r="L530" s="33">
        <f t="shared" si="229"/>
        <v>0</v>
      </c>
      <c r="M530" s="33">
        <f t="shared" si="229"/>
        <v>0</v>
      </c>
      <c r="N530" s="33">
        <f t="shared" si="229"/>
        <v>0</v>
      </c>
      <c r="O530" s="33">
        <f t="shared" si="229"/>
        <v>0</v>
      </c>
      <c r="P530" s="33">
        <f>P547</f>
        <v>0</v>
      </c>
      <c r="Q530" s="33">
        <f>Q547</f>
        <v>0</v>
      </c>
      <c r="R530" s="33">
        <v>0</v>
      </c>
      <c r="S530" s="33">
        <f t="shared" si="219"/>
        <v>489340.99</v>
      </c>
      <c r="AG530" s="52"/>
      <c r="AH530" s="52"/>
      <c r="AI530" s="52"/>
      <c r="AJ530" s="52"/>
      <c r="AM530" s="44"/>
    </row>
    <row r="531" spans="1:49" ht="31.5" hidden="1" customHeight="1" x14ac:dyDescent="0.25">
      <c r="A531" s="197"/>
      <c r="B531" s="173"/>
      <c r="C531" s="171"/>
      <c r="D531" s="168"/>
      <c r="E531" s="166"/>
      <c r="F531" s="142" t="s">
        <v>60</v>
      </c>
      <c r="G531" s="142" t="s">
        <v>192</v>
      </c>
      <c r="H531" s="142" t="s">
        <v>238</v>
      </c>
      <c r="I531" s="33"/>
      <c r="J531" s="33">
        <f t="shared" ref="J531:O531" si="230">J544+J548+J550+J552</f>
        <v>0</v>
      </c>
      <c r="K531" s="33">
        <f t="shared" si="230"/>
        <v>0</v>
      </c>
      <c r="L531" s="33">
        <f t="shared" si="230"/>
        <v>0</v>
      </c>
      <c r="M531" s="33">
        <f t="shared" si="230"/>
        <v>0</v>
      </c>
      <c r="N531" s="33">
        <f t="shared" si="230"/>
        <v>0</v>
      </c>
      <c r="O531" s="33">
        <f t="shared" si="230"/>
        <v>0</v>
      </c>
      <c r="P531" s="33">
        <f>P544+P548+P550+P552</f>
        <v>0</v>
      </c>
      <c r="Q531" s="33"/>
      <c r="R531" s="33"/>
      <c r="S531" s="33">
        <f t="shared" si="219"/>
        <v>0</v>
      </c>
      <c r="AG531" s="52"/>
      <c r="AH531" s="52"/>
      <c r="AI531" s="52"/>
      <c r="AJ531" s="52"/>
      <c r="AM531" s="44"/>
    </row>
    <row r="532" spans="1:49" ht="31.5" customHeight="1" x14ac:dyDescent="0.25">
      <c r="A532" s="197"/>
      <c r="B532" s="173"/>
      <c r="C532" s="171"/>
      <c r="D532" s="168"/>
      <c r="E532" s="166"/>
      <c r="F532" s="142" t="s">
        <v>54</v>
      </c>
      <c r="G532" s="142" t="s">
        <v>192</v>
      </c>
      <c r="H532" s="141">
        <v>630</v>
      </c>
      <c r="I532" s="33">
        <v>108062.71</v>
      </c>
      <c r="J532" s="33">
        <f t="shared" ref="J532:Q532" si="231">J541</f>
        <v>0</v>
      </c>
      <c r="K532" s="33">
        <f t="shared" si="231"/>
        <v>0</v>
      </c>
      <c r="L532" s="33">
        <f t="shared" si="231"/>
        <v>0</v>
      </c>
      <c r="M532" s="33">
        <f t="shared" si="231"/>
        <v>0</v>
      </c>
      <c r="N532" s="33">
        <f t="shared" si="231"/>
        <v>0</v>
      </c>
      <c r="O532" s="33">
        <f t="shared" si="231"/>
        <v>0</v>
      </c>
      <c r="P532" s="33">
        <f t="shared" si="231"/>
        <v>0</v>
      </c>
      <c r="Q532" s="33">
        <f t="shared" si="231"/>
        <v>0</v>
      </c>
      <c r="R532" s="33">
        <v>0</v>
      </c>
      <c r="S532" s="33">
        <f t="shared" si="219"/>
        <v>108062.71</v>
      </c>
      <c r="AG532" s="52"/>
      <c r="AH532" s="52"/>
      <c r="AI532" s="52"/>
      <c r="AJ532" s="52"/>
      <c r="AM532" s="44"/>
    </row>
    <row r="533" spans="1:49" x14ac:dyDescent="0.25">
      <c r="A533" s="197"/>
      <c r="B533" s="173"/>
      <c r="C533" s="171" t="s">
        <v>196</v>
      </c>
      <c r="D533" s="147" t="s">
        <v>10</v>
      </c>
      <c r="E533" s="141" t="s">
        <v>74</v>
      </c>
      <c r="F533" s="141" t="s">
        <v>74</v>
      </c>
      <c r="G533" s="142" t="s">
        <v>193</v>
      </c>
      <c r="H533" s="141" t="s">
        <v>74</v>
      </c>
      <c r="I533" s="33">
        <f t="shared" ref="I533:Q533" si="232">I534</f>
        <v>16978.28</v>
      </c>
      <c r="J533" s="33">
        <f t="shared" si="232"/>
        <v>0</v>
      </c>
      <c r="K533" s="33">
        <f t="shared" si="232"/>
        <v>0</v>
      </c>
      <c r="L533" s="33">
        <f t="shared" si="232"/>
        <v>0</v>
      </c>
      <c r="M533" s="33">
        <f t="shared" si="232"/>
        <v>0</v>
      </c>
      <c r="N533" s="33">
        <f t="shared" si="232"/>
        <v>0</v>
      </c>
      <c r="O533" s="33">
        <f t="shared" si="232"/>
        <v>0</v>
      </c>
      <c r="P533" s="33">
        <f t="shared" si="232"/>
        <v>0</v>
      </c>
      <c r="Q533" s="33">
        <f t="shared" si="232"/>
        <v>0</v>
      </c>
      <c r="R533" s="33">
        <v>0</v>
      </c>
      <c r="S533" s="33">
        <f t="shared" si="219"/>
        <v>16978.28</v>
      </c>
      <c r="AG533" s="52"/>
      <c r="AH533" s="52"/>
      <c r="AI533" s="52"/>
      <c r="AJ533" s="52"/>
      <c r="AM533" s="44"/>
      <c r="AW533" s="35" t="s">
        <v>151</v>
      </c>
    </row>
    <row r="534" spans="1:49" ht="37.5" x14ac:dyDescent="0.25">
      <c r="A534" s="197"/>
      <c r="B534" s="173"/>
      <c r="C534" s="171"/>
      <c r="D534" s="140" t="s">
        <v>30</v>
      </c>
      <c r="E534" s="141">
        <v>915</v>
      </c>
      <c r="F534" s="142" t="s">
        <v>54</v>
      </c>
      <c r="G534" s="142" t="s">
        <v>193</v>
      </c>
      <c r="H534" s="141">
        <v>630</v>
      </c>
      <c r="I534" s="33">
        <v>16978.28</v>
      </c>
      <c r="J534" s="33">
        <f t="shared" ref="J534:Q534" si="233">J542</f>
        <v>0</v>
      </c>
      <c r="K534" s="33">
        <f t="shared" si="233"/>
        <v>0</v>
      </c>
      <c r="L534" s="33">
        <f t="shared" si="233"/>
        <v>0</v>
      </c>
      <c r="M534" s="33">
        <f t="shared" si="233"/>
        <v>0</v>
      </c>
      <c r="N534" s="33">
        <f t="shared" si="233"/>
        <v>0</v>
      </c>
      <c r="O534" s="33">
        <f t="shared" si="233"/>
        <v>0</v>
      </c>
      <c r="P534" s="33">
        <f t="shared" si="233"/>
        <v>0</v>
      </c>
      <c r="Q534" s="33">
        <f t="shared" si="233"/>
        <v>0</v>
      </c>
      <c r="R534" s="33">
        <v>0</v>
      </c>
      <c r="S534" s="33">
        <f t="shared" si="219"/>
        <v>16978.28</v>
      </c>
      <c r="AG534" s="52"/>
      <c r="AH534" s="52"/>
      <c r="AI534" s="52"/>
      <c r="AJ534" s="52"/>
      <c r="AM534" s="44"/>
    </row>
    <row r="535" spans="1:49" ht="75.75" hidden="1" customHeight="1" x14ac:dyDescent="0.25">
      <c r="A535" s="197"/>
      <c r="B535" s="173"/>
      <c r="C535" s="171"/>
      <c r="D535" s="140"/>
      <c r="E535" s="141"/>
      <c r="F535" s="142"/>
      <c r="G535" s="142"/>
      <c r="H535" s="141"/>
      <c r="I535" s="33">
        <v>0</v>
      </c>
      <c r="J535" s="33">
        <v>0</v>
      </c>
      <c r="K535" s="33">
        <f>K561</f>
        <v>0</v>
      </c>
      <c r="L535" s="33">
        <f>L561</f>
        <v>0</v>
      </c>
      <c r="M535" s="33">
        <f>M561</f>
        <v>0</v>
      </c>
      <c r="N535" s="33">
        <f>N561</f>
        <v>0</v>
      </c>
      <c r="O535" s="33"/>
      <c r="P535" s="33"/>
      <c r="Q535" s="33"/>
      <c r="R535" s="33"/>
      <c r="S535" s="33">
        <f t="shared" si="219"/>
        <v>0</v>
      </c>
      <c r="AG535" s="52"/>
      <c r="AH535" s="52"/>
      <c r="AI535" s="52"/>
      <c r="AJ535" s="52"/>
      <c r="AM535" s="44"/>
    </row>
    <row r="536" spans="1:49" ht="64.5" hidden="1" customHeight="1" x14ac:dyDescent="0.25">
      <c r="A536" s="197"/>
      <c r="B536" s="173"/>
      <c r="C536" s="171"/>
      <c r="D536" s="147"/>
      <c r="E536" s="141"/>
      <c r="F536" s="142"/>
      <c r="G536" s="142"/>
      <c r="H536" s="141"/>
      <c r="I536" s="33">
        <v>0</v>
      </c>
      <c r="J536" s="33">
        <v>0</v>
      </c>
      <c r="K536" s="33">
        <f>K560</f>
        <v>0</v>
      </c>
      <c r="L536" s="33">
        <f>L560</f>
        <v>0</v>
      </c>
      <c r="M536" s="33">
        <f>M560</f>
        <v>0</v>
      </c>
      <c r="N536" s="33">
        <f>N560</f>
        <v>0</v>
      </c>
      <c r="O536" s="33"/>
      <c r="P536" s="33"/>
      <c r="Q536" s="33"/>
      <c r="R536" s="33"/>
      <c r="S536" s="33">
        <f t="shared" si="219"/>
        <v>0</v>
      </c>
      <c r="AG536" s="52"/>
      <c r="AH536" s="52"/>
      <c r="AI536" s="52"/>
      <c r="AJ536" s="52"/>
      <c r="AM536" s="44"/>
    </row>
    <row r="537" spans="1:49" ht="63.75" hidden="1" customHeight="1" x14ac:dyDescent="0.25">
      <c r="A537" s="197"/>
      <c r="B537" s="173"/>
      <c r="C537" s="171"/>
      <c r="D537" s="147"/>
      <c r="E537" s="141"/>
      <c r="F537" s="142"/>
      <c r="G537" s="142"/>
      <c r="H537" s="141"/>
      <c r="I537" s="33">
        <v>0</v>
      </c>
      <c r="J537" s="33">
        <v>0</v>
      </c>
      <c r="K537" s="33" t="e">
        <f>#REF!</f>
        <v>#REF!</v>
      </c>
      <c r="L537" s="33" t="e">
        <f>#REF!</f>
        <v>#REF!</v>
      </c>
      <c r="M537" s="33" t="e">
        <f>#REF!</f>
        <v>#REF!</v>
      </c>
      <c r="N537" s="33" t="e">
        <f>#REF!</f>
        <v>#REF!</v>
      </c>
      <c r="O537" s="33"/>
      <c r="P537" s="33"/>
      <c r="Q537" s="33"/>
      <c r="R537" s="33"/>
      <c r="S537" s="33" t="e">
        <f t="shared" si="219"/>
        <v>#REF!</v>
      </c>
      <c r="AG537" s="52"/>
      <c r="AH537" s="52"/>
      <c r="AI537" s="52"/>
      <c r="AJ537" s="52"/>
      <c r="AM537" s="44"/>
    </row>
    <row r="538" spans="1:49" ht="85.5" hidden="1" customHeight="1" x14ac:dyDescent="0.25">
      <c r="A538" s="197"/>
      <c r="B538" s="173"/>
      <c r="C538" s="171"/>
      <c r="D538" s="147"/>
      <c r="E538" s="141"/>
      <c r="F538" s="142"/>
      <c r="G538" s="142"/>
      <c r="H538" s="141"/>
      <c r="I538" s="33">
        <v>0</v>
      </c>
      <c r="J538" s="33">
        <v>0</v>
      </c>
      <c r="K538" s="33">
        <f>K567</f>
        <v>0</v>
      </c>
      <c r="L538" s="33">
        <f>L567</f>
        <v>0</v>
      </c>
      <c r="M538" s="33">
        <f>M567</f>
        <v>0</v>
      </c>
      <c r="N538" s="33">
        <f>N567</f>
        <v>0</v>
      </c>
      <c r="O538" s="33"/>
      <c r="P538" s="33"/>
      <c r="Q538" s="33"/>
      <c r="R538" s="33"/>
      <c r="S538" s="33">
        <f t="shared" si="219"/>
        <v>0</v>
      </c>
      <c r="AG538" s="52"/>
      <c r="AH538" s="52"/>
      <c r="AI538" s="52"/>
      <c r="AJ538" s="52"/>
      <c r="AM538" s="44"/>
    </row>
    <row r="539" spans="1:49" ht="23.25" hidden="1" customHeight="1" x14ac:dyDescent="0.25">
      <c r="A539" s="197"/>
      <c r="B539" s="173"/>
      <c r="C539" s="55" t="s">
        <v>197</v>
      </c>
      <c r="D539" s="147"/>
      <c r="E539" s="141"/>
      <c r="F539" s="56" t="s">
        <v>74</v>
      </c>
      <c r="G539" s="56" t="s">
        <v>74</v>
      </c>
      <c r="H539" s="56" t="s">
        <v>74</v>
      </c>
      <c r="I539" s="38">
        <f t="shared" ref="I539:N539" si="234">I540+I543+I545+I549+I551</f>
        <v>813000</v>
      </c>
      <c r="J539" s="38">
        <f t="shared" si="234"/>
        <v>0</v>
      </c>
      <c r="K539" s="38">
        <f t="shared" si="234"/>
        <v>0</v>
      </c>
      <c r="L539" s="38">
        <f t="shared" si="234"/>
        <v>0</v>
      </c>
      <c r="M539" s="38">
        <f t="shared" si="234"/>
        <v>0</v>
      </c>
      <c r="N539" s="38">
        <f t="shared" si="234"/>
        <v>0</v>
      </c>
      <c r="O539" s="38"/>
      <c r="P539" s="38"/>
      <c r="Q539" s="38"/>
      <c r="R539" s="38"/>
      <c r="S539" s="33">
        <f t="shared" si="219"/>
        <v>813000</v>
      </c>
      <c r="AG539" s="52"/>
      <c r="AH539" s="52"/>
      <c r="AI539" s="52"/>
      <c r="AJ539" s="52"/>
      <c r="AM539" s="44"/>
    </row>
    <row r="540" spans="1:49" ht="61.5" hidden="1" customHeight="1" x14ac:dyDescent="0.25">
      <c r="A540" s="197"/>
      <c r="B540" s="173"/>
      <c r="C540" s="53" t="s">
        <v>220</v>
      </c>
      <c r="D540" s="168" t="s">
        <v>321</v>
      </c>
      <c r="E540" s="166">
        <v>915</v>
      </c>
      <c r="F540" s="142" t="s">
        <v>74</v>
      </c>
      <c r="G540" s="142" t="s">
        <v>74</v>
      </c>
      <c r="H540" s="142" t="s">
        <v>74</v>
      </c>
      <c r="I540" s="33">
        <f t="shared" ref="I540:N540" si="235">I541+I542</f>
        <v>250000</v>
      </c>
      <c r="J540" s="33">
        <f t="shared" si="235"/>
        <v>0</v>
      </c>
      <c r="K540" s="33">
        <f t="shared" si="235"/>
        <v>0</v>
      </c>
      <c r="L540" s="33">
        <f t="shared" si="235"/>
        <v>0</v>
      </c>
      <c r="M540" s="33">
        <f t="shared" si="235"/>
        <v>0</v>
      </c>
      <c r="N540" s="33">
        <f t="shared" si="235"/>
        <v>0</v>
      </c>
      <c r="O540" s="33"/>
      <c r="P540" s="33"/>
      <c r="Q540" s="33"/>
      <c r="R540" s="33"/>
      <c r="S540" s="33">
        <f t="shared" si="219"/>
        <v>250000</v>
      </c>
      <c r="AG540" s="52"/>
      <c r="AH540" s="52"/>
      <c r="AI540" s="52"/>
      <c r="AJ540" s="52"/>
      <c r="AM540" s="44"/>
    </row>
    <row r="541" spans="1:49" ht="32.25" hidden="1" customHeight="1" x14ac:dyDescent="0.25">
      <c r="A541" s="197"/>
      <c r="B541" s="173"/>
      <c r="C541" s="151" t="s">
        <v>153</v>
      </c>
      <c r="D541" s="168"/>
      <c r="E541" s="166"/>
      <c r="F541" s="142" t="s">
        <v>54</v>
      </c>
      <c r="G541" s="142" t="s">
        <v>192</v>
      </c>
      <c r="H541" s="142" t="s">
        <v>223</v>
      </c>
      <c r="I541" s="33">
        <v>210000</v>
      </c>
      <c r="J541" s="33">
        <v>0</v>
      </c>
      <c r="K541" s="33">
        <v>0</v>
      </c>
      <c r="L541" s="33">
        <v>0</v>
      </c>
      <c r="M541" s="33">
        <v>0</v>
      </c>
      <c r="N541" s="33">
        <v>0</v>
      </c>
      <c r="O541" s="33"/>
      <c r="P541" s="33"/>
      <c r="Q541" s="33"/>
      <c r="R541" s="33"/>
      <c r="S541" s="33">
        <f t="shared" si="219"/>
        <v>210000</v>
      </c>
      <c r="AG541" s="52"/>
      <c r="AH541" s="52"/>
      <c r="AI541" s="52"/>
      <c r="AJ541" s="52"/>
      <c r="AM541" s="44"/>
    </row>
    <row r="542" spans="1:49" ht="32.25" hidden="1" customHeight="1" x14ac:dyDescent="0.25">
      <c r="A542" s="197"/>
      <c r="B542" s="173"/>
      <c r="C542" s="151" t="s">
        <v>37</v>
      </c>
      <c r="D542" s="168"/>
      <c r="E542" s="166"/>
      <c r="F542" s="142" t="s">
        <v>54</v>
      </c>
      <c r="G542" s="142" t="s">
        <v>193</v>
      </c>
      <c r="H542" s="142" t="s">
        <v>223</v>
      </c>
      <c r="I542" s="33">
        <f>14000+26000</f>
        <v>40000</v>
      </c>
      <c r="J542" s="33">
        <v>0</v>
      </c>
      <c r="K542" s="33">
        <v>0</v>
      </c>
      <c r="L542" s="33">
        <v>0</v>
      </c>
      <c r="M542" s="33">
        <v>0</v>
      </c>
      <c r="N542" s="33">
        <v>0</v>
      </c>
      <c r="O542" s="33"/>
      <c r="P542" s="33"/>
      <c r="Q542" s="33"/>
      <c r="R542" s="33"/>
      <c r="S542" s="33">
        <f t="shared" si="219"/>
        <v>40000</v>
      </c>
      <c r="AG542" s="52"/>
      <c r="AH542" s="52"/>
      <c r="AI542" s="52"/>
      <c r="AJ542" s="52"/>
      <c r="AM542" s="44"/>
    </row>
    <row r="543" spans="1:49" ht="25.5" hidden="1" customHeight="1" x14ac:dyDescent="0.25">
      <c r="A543" s="197"/>
      <c r="B543" s="173"/>
      <c r="C543" s="53" t="s">
        <v>182</v>
      </c>
      <c r="D543" s="168"/>
      <c r="E543" s="166"/>
      <c r="F543" s="142" t="s">
        <v>74</v>
      </c>
      <c r="G543" s="142" t="s">
        <v>74</v>
      </c>
      <c r="H543" s="141" t="s">
        <v>74</v>
      </c>
      <c r="I543" s="33">
        <f t="shared" ref="I543:N543" si="236">I544</f>
        <v>250000</v>
      </c>
      <c r="J543" s="33">
        <f t="shared" si="236"/>
        <v>0</v>
      </c>
      <c r="K543" s="33">
        <f t="shared" si="236"/>
        <v>0</v>
      </c>
      <c r="L543" s="33">
        <f t="shared" si="236"/>
        <v>0</v>
      </c>
      <c r="M543" s="33">
        <f t="shared" si="236"/>
        <v>0</v>
      </c>
      <c r="N543" s="33">
        <f t="shared" si="236"/>
        <v>0</v>
      </c>
      <c r="O543" s="33"/>
      <c r="P543" s="33"/>
      <c r="Q543" s="33"/>
      <c r="R543" s="33"/>
      <c r="S543" s="33">
        <f t="shared" si="219"/>
        <v>250000</v>
      </c>
      <c r="AG543" s="52"/>
      <c r="AH543" s="52"/>
      <c r="AI543" s="52"/>
      <c r="AJ543" s="52"/>
      <c r="AM543" s="44"/>
    </row>
    <row r="544" spans="1:49" ht="25.5" hidden="1" customHeight="1" x14ac:dyDescent="0.25">
      <c r="A544" s="197"/>
      <c r="B544" s="173"/>
      <c r="C544" s="151" t="s">
        <v>153</v>
      </c>
      <c r="D544" s="168"/>
      <c r="E544" s="166"/>
      <c r="F544" s="142" t="s">
        <v>60</v>
      </c>
      <c r="G544" s="142" t="s">
        <v>192</v>
      </c>
      <c r="H544" s="142" t="s">
        <v>238</v>
      </c>
      <c r="I544" s="33">
        <f>100000+150000</f>
        <v>250000</v>
      </c>
      <c r="J544" s="33">
        <v>0</v>
      </c>
      <c r="K544" s="33">
        <v>0</v>
      </c>
      <c r="L544" s="33">
        <v>0</v>
      </c>
      <c r="M544" s="33">
        <v>0</v>
      </c>
      <c r="N544" s="33">
        <v>0</v>
      </c>
      <c r="O544" s="33"/>
      <c r="P544" s="33"/>
      <c r="Q544" s="33"/>
      <c r="R544" s="33"/>
      <c r="S544" s="33">
        <f t="shared" ref="S544:S564" si="237">SUM(I544:P544)</f>
        <v>250000</v>
      </c>
      <c r="AG544" s="52"/>
      <c r="AH544" s="52"/>
      <c r="AI544" s="52"/>
      <c r="AJ544" s="52"/>
      <c r="AM544" s="44"/>
      <c r="AW544" s="33">
        <v>0</v>
      </c>
    </row>
    <row r="545" spans="1:80" ht="29.25" hidden="1" customHeight="1" x14ac:dyDescent="0.25">
      <c r="A545" s="197"/>
      <c r="B545" s="173"/>
      <c r="C545" s="53" t="s">
        <v>183</v>
      </c>
      <c r="D545" s="168"/>
      <c r="E545" s="166"/>
      <c r="F545" s="142" t="s">
        <v>74</v>
      </c>
      <c r="G545" s="142" t="s">
        <v>74</v>
      </c>
      <c r="H545" s="141" t="s">
        <v>74</v>
      </c>
      <c r="I545" s="33">
        <f t="shared" ref="I545:N545" si="238">I546</f>
        <v>123000</v>
      </c>
      <c r="J545" s="33">
        <f t="shared" si="238"/>
        <v>0</v>
      </c>
      <c r="K545" s="33">
        <f t="shared" si="238"/>
        <v>0</v>
      </c>
      <c r="L545" s="33">
        <f t="shared" si="238"/>
        <v>0</v>
      </c>
      <c r="M545" s="33">
        <f t="shared" si="238"/>
        <v>0</v>
      </c>
      <c r="N545" s="33">
        <f t="shared" si="238"/>
        <v>0</v>
      </c>
      <c r="O545" s="33"/>
      <c r="P545" s="33"/>
      <c r="Q545" s="33"/>
      <c r="R545" s="33"/>
      <c r="S545" s="33">
        <f t="shared" si="237"/>
        <v>123000</v>
      </c>
      <c r="AG545" s="52"/>
      <c r="AH545" s="52"/>
      <c r="AI545" s="52"/>
      <c r="AJ545" s="52"/>
      <c r="AM545" s="44"/>
    </row>
    <row r="546" spans="1:80" s="58" customFormat="1" ht="22.5" hidden="1" customHeight="1" x14ac:dyDescent="0.25">
      <c r="A546" s="197"/>
      <c r="B546" s="173"/>
      <c r="C546" s="186" t="s">
        <v>153</v>
      </c>
      <c r="D546" s="168"/>
      <c r="E546" s="166"/>
      <c r="F546" s="142" t="s">
        <v>60</v>
      </c>
      <c r="G546" s="142" t="s">
        <v>192</v>
      </c>
      <c r="H546" s="142" t="s">
        <v>74</v>
      </c>
      <c r="I546" s="33">
        <f>42000+81000</f>
        <v>123000</v>
      </c>
      <c r="J546" s="33">
        <v>0</v>
      </c>
      <c r="K546" s="33">
        <v>0</v>
      </c>
      <c r="L546" s="33">
        <v>0</v>
      </c>
      <c r="M546" s="33">
        <v>0</v>
      </c>
      <c r="N546" s="33">
        <v>0</v>
      </c>
      <c r="O546" s="33"/>
      <c r="P546" s="33"/>
      <c r="Q546" s="33"/>
      <c r="R546" s="33"/>
      <c r="S546" s="33">
        <f t="shared" si="237"/>
        <v>123000</v>
      </c>
      <c r="T546" s="57"/>
      <c r="U546" s="57"/>
      <c r="V546" s="57"/>
      <c r="Z546" s="57"/>
      <c r="AG546" s="59"/>
      <c r="AH546" s="59"/>
      <c r="AI546" s="59"/>
      <c r="AJ546" s="59"/>
      <c r="AM546" s="57"/>
    </row>
    <row r="547" spans="1:80" s="58" customFormat="1" ht="22.5" hidden="1" customHeight="1" x14ac:dyDescent="0.25">
      <c r="A547" s="197"/>
      <c r="B547" s="173"/>
      <c r="C547" s="186"/>
      <c r="D547" s="168"/>
      <c r="E547" s="166"/>
      <c r="F547" s="142" t="s">
        <v>60</v>
      </c>
      <c r="G547" s="142" t="s">
        <v>192</v>
      </c>
      <c r="H547" s="142" t="s">
        <v>170</v>
      </c>
      <c r="I547" s="33">
        <v>34494.959999999999</v>
      </c>
      <c r="J547" s="33">
        <v>0</v>
      </c>
      <c r="K547" s="33">
        <v>0</v>
      </c>
      <c r="L547" s="33">
        <v>0</v>
      </c>
      <c r="M547" s="33">
        <v>0</v>
      </c>
      <c r="N547" s="33">
        <v>0</v>
      </c>
      <c r="O547" s="33"/>
      <c r="P547" s="33"/>
      <c r="Q547" s="33"/>
      <c r="R547" s="33"/>
      <c r="S547" s="33">
        <f t="shared" si="237"/>
        <v>34494.959999999999</v>
      </c>
      <c r="T547" s="57"/>
      <c r="U547" s="57"/>
      <c r="V547" s="57"/>
      <c r="Z547" s="57"/>
      <c r="AG547" s="59"/>
      <c r="AH547" s="59"/>
      <c r="AI547" s="59"/>
      <c r="AJ547" s="59"/>
      <c r="AM547" s="57"/>
    </row>
    <row r="548" spans="1:80" s="58" customFormat="1" ht="22.5" hidden="1" customHeight="1" x14ac:dyDescent="0.25">
      <c r="A548" s="197"/>
      <c r="B548" s="173"/>
      <c r="C548" s="186"/>
      <c r="D548" s="168"/>
      <c r="E548" s="166"/>
      <c r="F548" s="142" t="s">
        <v>60</v>
      </c>
      <c r="G548" s="142" t="s">
        <v>192</v>
      </c>
      <c r="H548" s="142" t="s">
        <v>238</v>
      </c>
      <c r="I548" s="33">
        <f>I546-I547</f>
        <v>88505.040000000008</v>
      </c>
      <c r="J548" s="33">
        <v>0</v>
      </c>
      <c r="K548" s="33">
        <v>0</v>
      </c>
      <c r="L548" s="33">
        <v>0</v>
      </c>
      <c r="M548" s="33">
        <v>0</v>
      </c>
      <c r="N548" s="33">
        <v>0</v>
      </c>
      <c r="O548" s="33"/>
      <c r="P548" s="33"/>
      <c r="Q548" s="33"/>
      <c r="R548" s="33"/>
      <c r="S548" s="33">
        <f t="shared" si="237"/>
        <v>88505.040000000008</v>
      </c>
      <c r="T548" s="57"/>
      <c r="U548" s="57"/>
      <c r="V548" s="57"/>
      <c r="Z548" s="57"/>
      <c r="AG548" s="59"/>
      <c r="AH548" s="59"/>
      <c r="AI548" s="59"/>
      <c r="AJ548" s="59"/>
      <c r="AM548" s="57"/>
    </row>
    <row r="549" spans="1:80" ht="22.5" hidden="1" customHeight="1" x14ac:dyDescent="0.25">
      <c r="A549" s="197"/>
      <c r="B549" s="173"/>
      <c r="C549" s="53" t="s">
        <v>184</v>
      </c>
      <c r="D549" s="168"/>
      <c r="E549" s="166"/>
      <c r="F549" s="142" t="s">
        <v>74</v>
      </c>
      <c r="G549" s="142" t="s">
        <v>74</v>
      </c>
      <c r="H549" s="141" t="s">
        <v>74</v>
      </c>
      <c r="I549" s="33">
        <f>I550</f>
        <v>120000</v>
      </c>
      <c r="J549" s="33">
        <f t="shared" ref="J549:N551" si="239">J550</f>
        <v>0</v>
      </c>
      <c r="K549" s="33">
        <f t="shared" si="239"/>
        <v>0</v>
      </c>
      <c r="L549" s="33">
        <f t="shared" si="239"/>
        <v>0</v>
      </c>
      <c r="M549" s="33">
        <f t="shared" si="239"/>
        <v>0</v>
      </c>
      <c r="N549" s="33">
        <f t="shared" si="239"/>
        <v>0</v>
      </c>
      <c r="O549" s="33"/>
      <c r="P549" s="33"/>
      <c r="Q549" s="33"/>
      <c r="R549" s="33"/>
      <c r="S549" s="33">
        <f t="shared" si="237"/>
        <v>120000</v>
      </c>
      <c r="AG549" s="52"/>
      <c r="AH549" s="52"/>
      <c r="AI549" s="52"/>
      <c r="AJ549" s="52"/>
      <c r="AM549" s="44"/>
    </row>
    <row r="550" spans="1:80" ht="22.5" hidden="1" customHeight="1" x14ac:dyDescent="0.25">
      <c r="A550" s="197"/>
      <c r="B550" s="173"/>
      <c r="C550" s="151" t="s">
        <v>153</v>
      </c>
      <c r="D550" s="168"/>
      <c r="E550" s="166"/>
      <c r="F550" s="142" t="s">
        <v>60</v>
      </c>
      <c r="G550" s="142" t="s">
        <v>192</v>
      </c>
      <c r="H550" s="142" t="s">
        <v>238</v>
      </c>
      <c r="I550" s="33">
        <f>50000+70000</f>
        <v>120000</v>
      </c>
      <c r="J550" s="33">
        <v>0</v>
      </c>
      <c r="K550" s="33">
        <v>0</v>
      </c>
      <c r="L550" s="33">
        <v>0</v>
      </c>
      <c r="M550" s="33">
        <v>0</v>
      </c>
      <c r="N550" s="33">
        <v>0</v>
      </c>
      <c r="O550" s="33"/>
      <c r="P550" s="33"/>
      <c r="Q550" s="33"/>
      <c r="R550" s="33"/>
      <c r="S550" s="33">
        <f t="shared" si="237"/>
        <v>120000</v>
      </c>
      <c r="AG550" s="52"/>
      <c r="AH550" s="52"/>
      <c r="AI550" s="52"/>
      <c r="AJ550" s="52"/>
      <c r="AM550" s="44"/>
    </row>
    <row r="551" spans="1:80" ht="60" hidden="1" customHeight="1" x14ac:dyDescent="0.25">
      <c r="A551" s="197"/>
      <c r="B551" s="173"/>
      <c r="C551" s="53" t="s">
        <v>233</v>
      </c>
      <c r="D551" s="168"/>
      <c r="E551" s="166"/>
      <c r="F551" s="142" t="s">
        <v>74</v>
      </c>
      <c r="G551" s="142" t="s">
        <v>74</v>
      </c>
      <c r="H551" s="141" t="s">
        <v>74</v>
      </c>
      <c r="I551" s="33">
        <f>I552</f>
        <v>70000</v>
      </c>
      <c r="J551" s="33">
        <f t="shared" si="239"/>
        <v>0</v>
      </c>
      <c r="K551" s="33">
        <f t="shared" si="239"/>
        <v>0</v>
      </c>
      <c r="L551" s="33">
        <f t="shared" si="239"/>
        <v>0</v>
      </c>
      <c r="M551" s="33">
        <f t="shared" si="239"/>
        <v>0</v>
      </c>
      <c r="N551" s="33">
        <f t="shared" si="239"/>
        <v>0</v>
      </c>
      <c r="O551" s="33"/>
      <c r="P551" s="33"/>
      <c r="Q551" s="33"/>
      <c r="R551" s="33"/>
      <c r="S551" s="33">
        <f t="shared" si="237"/>
        <v>70000</v>
      </c>
      <c r="AG551" s="52"/>
      <c r="AH551" s="52"/>
      <c r="AI551" s="52"/>
      <c r="AJ551" s="52"/>
      <c r="AM551" s="44"/>
    </row>
    <row r="552" spans="1:80" ht="22.5" hidden="1" customHeight="1" x14ac:dyDescent="0.25">
      <c r="A552" s="197"/>
      <c r="B552" s="173"/>
      <c r="C552" s="151" t="s">
        <v>153</v>
      </c>
      <c r="D552" s="168"/>
      <c r="E552" s="166"/>
      <c r="F552" s="142" t="s">
        <v>60</v>
      </c>
      <c r="G552" s="142" t="s">
        <v>192</v>
      </c>
      <c r="H552" s="142" t="s">
        <v>238</v>
      </c>
      <c r="I552" s="33">
        <v>70000</v>
      </c>
      <c r="J552" s="33">
        <v>0</v>
      </c>
      <c r="K552" s="33">
        <v>0</v>
      </c>
      <c r="L552" s="33">
        <v>0</v>
      </c>
      <c r="M552" s="33">
        <v>0</v>
      </c>
      <c r="N552" s="33">
        <v>0</v>
      </c>
      <c r="O552" s="33"/>
      <c r="P552" s="33"/>
      <c r="Q552" s="33"/>
      <c r="R552" s="33"/>
      <c r="S552" s="33">
        <f t="shared" si="237"/>
        <v>70000</v>
      </c>
      <c r="AG552" s="52"/>
      <c r="AH552" s="52"/>
      <c r="AI552" s="52"/>
      <c r="AJ552" s="52"/>
      <c r="AM552" s="44"/>
    </row>
    <row r="553" spans="1:80" ht="81.75" customHeight="1" x14ac:dyDescent="0.25">
      <c r="A553" s="197">
        <v>7</v>
      </c>
      <c r="B553" s="173" t="s">
        <v>229</v>
      </c>
      <c r="C553" s="55" t="s">
        <v>272</v>
      </c>
      <c r="D553" s="140" t="s">
        <v>10</v>
      </c>
      <c r="E553" s="141" t="s">
        <v>74</v>
      </c>
      <c r="F553" s="142" t="s">
        <v>74</v>
      </c>
      <c r="G553" s="142" t="s">
        <v>74</v>
      </c>
      <c r="H553" s="142" t="s">
        <v>74</v>
      </c>
      <c r="I553" s="33">
        <f t="shared" ref="I553:Q553" si="240">I554</f>
        <v>32999.81</v>
      </c>
      <c r="J553" s="33">
        <f t="shared" si="240"/>
        <v>11770.529999999999</v>
      </c>
      <c r="K553" s="33">
        <f t="shared" si="240"/>
        <v>0</v>
      </c>
      <c r="L553" s="33">
        <f t="shared" si="240"/>
        <v>0</v>
      </c>
      <c r="M553" s="33">
        <f t="shared" si="240"/>
        <v>0</v>
      </c>
      <c r="N553" s="33">
        <f t="shared" si="240"/>
        <v>0</v>
      </c>
      <c r="O553" s="33">
        <f t="shared" si="240"/>
        <v>0</v>
      </c>
      <c r="P553" s="33">
        <f t="shared" si="240"/>
        <v>0</v>
      </c>
      <c r="Q553" s="33">
        <f t="shared" si="240"/>
        <v>0</v>
      </c>
      <c r="R553" s="33">
        <v>0</v>
      </c>
      <c r="S553" s="33">
        <f t="shared" si="237"/>
        <v>44770.34</v>
      </c>
      <c r="AG553" s="52"/>
      <c r="AH553" s="52"/>
      <c r="AI553" s="52"/>
      <c r="AJ553" s="52"/>
      <c r="AM553" s="44"/>
      <c r="CB553" s="35" t="s">
        <v>151</v>
      </c>
    </row>
    <row r="554" spans="1:80" ht="35.25" customHeight="1" x14ac:dyDescent="0.25">
      <c r="A554" s="197"/>
      <c r="B554" s="173"/>
      <c r="C554" s="186" t="s">
        <v>37</v>
      </c>
      <c r="D554" s="140" t="s">
        <v>10</v>
      </c>
      <c r="E554" s="141" t="s">
        <v>74</v>
      </c>
      <c r="F554" s="142" t="s">
        <v>74</v>
      </c>
      <c r="G554" s="142" t="s">
        <v>230</v>
      </c>
      <c r="H554" s="142" t="s">
        <v>74</v>
      </c>
      <c r="I554" s="33">
        <f>I555+I556+I558</f>
        <v>32999.81</v>
      </c>
      <c r="J554" s="33">
        <f>J555+J557+J558</f>
        <v>11770.529999999999</v>
      </c>
      <c r="K554" s="33">
        <f t="shared" ref="K554:Q554" si="241">K555+K556+K558</f>
        <v>0</v>
      </c>
      <c r="L554" s="33">
        <f t="shared" si="241"/>
        <v>0</v>
      </c>
      <c r="M554" s="33">
        <f t="shared" si="241"/>
        <v>0</v>
      </c>
      <c r="N554" s="33">
        <f t="shared" si="241"/>
        <v>0</v>
      </c>
      <c r="O554" s="33">
        <f t="shared" si="241"/>
        <v>0</v>
      </c>
      <c r="P554" s="33">
        <f t="shared" si="241"/>
        <v>0</v>
      </c>
      <c r="Q554" s="33">
        <f t="shared" si="241"/>
        <v>0</v>
      </c>
      <c r="R554" s="33">
        <v>0</v>
      </c>
      <c r="S554" s="33">
        <f t="shared" si="237"/>
        <v>44770.34</v>
      </c>
      <c r="AG554" s="52"/>
      <c r="AH554" s="52"/>
      <c r="AI554" s="52"/>
      <c r="AJ554" s="52"/>
      <c r="AM554" s="44"/>
    </row>
    <row r="555" spans="1:80" ht="56.25" customHeight="1" x14ac:dyDescent="0.25">
      <c r="A555" s="197"/>
      <c r="B555" s="173"/>
      <c r="C555" s="186"/>
      <c r="D555" s="140" t="s">
        <v>157</v>
      </c>
      <c r="E555" s="141">
        <v>908</v>
      </c>
      <c r="F555" s="142" t="s">
        <v>60</v>
      </c>
      <c r="G555" s="142" t="s">
        <v>230</v>
      </c>
      <c r="H555" s="142" t="s">
        <v>264</v>
      </c>
      <c r="I555" s="33">
        <v>5400</v>
      </c>
      <c r="J555" s="33">
        <f t="shared" ref="J555:Q555" si="242">J560</f>
        <v>0</v>
      </c>
      <c r="K555" s="33">
        <f t="shared" si="242"/>
        <v>0</v>
      </c>
      <c r="L555" s="33">
        <f t="shared" si="242"/>
        <v>0</v>
      </c>
      <c r="M555" s="33">
        <f t="shared" si="242"/>
        <v>0</v>
      </c>
      <c r="N555" s="33">
        <f t="shared" si="242"/>
        <v>0</v>
      </c>
      <c r="O555" s="33">
        <f t="shared" si="242"/>
        <v>0</v>
      </c>
      <c r="P555" s="33">
        <f t="shared" si="242"/>
        <v>0</v>
      </c>
      <c r="Q555" s="33">
        <f t="shared" si="242"/>
        <v>0</v>
      </c>
      <c r="R555" s="33">
        <v>0</v>
      </c>
      <c r="S555" s="33">
        <f t="shared" si="237"/>
        <v>5400</v>
      </c>
      <c r="AG555" s="52"/>
      <c r="AH555" s="52"/>
      <c r="AI555" s="52"/>
      <c r="AJ555" s="52"/>
      <c r="AM555" s="44"/>
    </row>
    <row r="556" spans="1:80" ht="57" customHeight="1" x14ac:dyDescent="0.25">
      <c r="A556" s="197"/>
      <c r="B556" s="173"/>
      <c r="C556" s="186"/>
      <c r="D556" s="140" t="s">
        <v>252</v>
      </c>
      <c r="E556" s="141">
        <v>900</v>
      </c>
      <c r="F556" s="142" t="s">
        <v>60</v>
      </c>
      <c r="G556" s="142" t="s">
        <v>230</v>
      </c>
      <c r="H556" s="142" t="s">
        <v>264</v>
      </c>
      <c r="I556" s="33">
        <v>15099.81</v>
      </c>
      <c r="J556" s="33">
        <v>0</v>
      </c>
      <c r="K556" s="33">
        <f t="shared" ref="K556:P556" si="243">K562</f>
        <v>0</v>
      </c>
      <c r="L556" s="33">
        <f t="shared" si="243"/>
        <v>0</v>
      </c>
      <c r="M556" s="33">
        <f t="shared" si="243"/>
        <v>0</v>
      </c>
      <c r="N556" s="33">
        <f t="shared" si="243"/>
        <v>0</v>
      </c>
      <c r="O556" s="33">
        <f t="shared" si="243"/>
        <v>0</v>
      </c>
      <c r="P556" s="33">
        <f t="shared" si="243"/>
        <v>0</v>
      </c>
      <c r="Q556" s="33">
        <f>Q562</f>
        <v>0</v>
      </c>
      <c r="R556" s="33">
        <v>0</v>
      </c>
      <c r="S556" s="33">
        <f t="shared" si="237"/>
        <v>15099.81</v>
      </c>
      <c r="AG556" s="52"/>
      <c r="AH556" s="52"/>
      <c r="AI556" s="52"/>
      <c r="AJ556" s="52"/>
      <c r="AM556" s="44"/>
    </row>
    <row r="557" spans="1:80" ht="57" customHeight="1" x14ac:dyDescent="0.25">
      <c r="A557" s="197"/>
      <c r="B557" s="173"/>
      <c r="C557" s="186"/>
      <c r="D557" s="140" t="s">
        <v>250</v>
      </c>
      <c r="E557" s="141">
        <v>900</v>
      </c>
      <c r="F557" s="142" t="s">
        <v>60</v>
      </c>
      <c r="G557" s="142" t="s">
        <v>230</v>
      </c>
      <c r="H557" s="142" t="s">
        <v>264</v>
      </c>
      <c r="I557" s="33">
        <v>0</v>
      </c>
      <c r="J557" s="33">
        <f>J566</f>
        <v>4999.9399999999996</v>
      </c>
      <c r="K557" s="33">
        <v>0</v>
      </c>
      <c r="L557" s="33">
        <v>0</v>
      </c>
      <c r="M557" s="33">
        <v>0</v>
      </c>
      <c r="N557" s="33">
        <v>0</v>
      </c>
      <c r="O557" s="33">
        <v>0</v>
      </c>
      <c r="P557" s="33">
        <v>0</v>
      </c>
      <c r="Q557" s="33">
        <v>0</v>
      </c>
      <c r="R557" s="33">
        <v>0</v>
      </c>
      <c r="S557" s="33">
        <f t="shared" si="237"/>
        <v>4999.9399999999996</v>
      </c>
      <c r="AG557" s="52"/>
      <c r="AH557" s="52"/>
      <c r="AI557" s="52"/>
      <c r="AJ557" s="52"/>
      <c r="AM557" s="44"/>
    </row>
    <row r="558" spans="1:80" ht="78" customHeight="1" x14ac:dyDescent="0.25">
      <c r="A558" s="197"/>
      <c r="B558" s="173"/>
      <c r="C558" s="186"/>
      <c r="D558" s="140" t="s">
        <v>175</v>
      </c>
      <c r="E558" s="141">
        <v>918</v>
      </c>
      <c r="F558" s="142" t="s">
        <v>60</v>
      </c>
      <c r="G558" s="142" t="s">
        <v>230</v>
      </c>
      <c r="H558" s="142" t="s">
        <v>264</v>
      </c>
      <c r="I558" s="33">
        <v>12500</v>
      </c>
      <c r="J558" s="33">
        <f t="shared" ref="J558:Q558" si="244">J568</f>
        <v>6770.59</v>
      </c>
      <c r="K558" s="33">
        <f t="shared" si="244"/>
        <v>0</v>
      </c>
      <c r="L558" s="33">
        <f t="shared" si="244"/>
        <v>0</v>
      </c>
      <c r="M558" s="33">
        <f t="shared" si="244"/>
        <v>0</v>
      </c>
      <c r="N558" s="33">
        <f t="shared" si="244"/>
        <v>0</v>
      </c>
      <c r="O558" s="33">
        <f t="shared" si="244"/>
        <v>0</v>
      </c>
      <c r="P558" s="33">
        <f t="shared" si="244"/>
        <v>0</v>
      </c>
      <c r="Q558" s="33">
        <f t="shared" si="244"/>
        <v>0</v>
      </c>
      <c r="R558" s="33">
        <v>0</v>
      </c>
      <c r="S558" s="33">
        <f t="shared" si="237"/>
        <v>19270.59</v>
      </c>
      <c r="AG558" s="52"/>
      <c r="AH558" s="52"/>
      <c r="AI558" s="52"/>
      <c r="AJ558" s="52"/>
      <c r="AM558" s="44"/>
    </row>
    <row r="559" spans="1:80" ht="60.75" customHeight="1" x14ac:dyDescent="0.25">
      <c r="A559" s="197"/>
      <c r="B559" s="173"/>
      <c r="C559" s="53" t="s">
        <v>185</v>
      </c>
      <c r="D559" s="168" t="s">
        <v>157</v>
      </c>
      <c r="E559" s="166">
        <v>908</v>
      </c>
      <c r="F559" s="142" t="s">
        <v>74</v>
      </c>
      <c r="G559" s="142" t="s">
        <v>74</v>
      </c>
      <c r="H559" s="141" t="s">
        <v>74</v>
      </c>
      <c r="I559" s="33">
        <f>I560</f>
        <v>5500</v>
      </c>
      <c r="J559" s="33">
        <f>J560</f>
        <v>0</v>
      </c>
      <c r="K559" s="33">
        <v>0</v>
      </c>
      <c r="L559" s="33">
        <v>0</v>
      </c>
      <c r="M559" s="33">
        <v>0</v>
      </c>
      <c r="N559" s="33">
        <v>0</v>
      </c>
      <c r="O559" s="33">
        <v>0</v>
      </c>
      <c r="P559" s="33">
        <v>0</v>
      </c>
      <c r="Q559" s="33">
        <v>0</v>
      </c>
      <c r="R559" s="33">
        <v>0</v>
      </c>
      <c r="S559" s="33">
        <f>SUM(I559:R559)</f>
        <v>5500</v>
      </c>
      <c r="AW559" s="60"/>
      <c r="BB559" s="140" t="s">
        <v>155</v>
      </c>
      <c r="BC559" s="141">
        <v>918</v>
      </c>
      <c r="BD559" s="142" t="s">
        <v>74</v>
      </c>
      <c r="BE559" s="142" t="s">
        <v>74</v>
      </c>
      <c r="BF559" s="142" t="s">
        <v>74</v>
      </c>
      <c r="BG559" s="33"/>
      <c r="BH559" s="33"/>
      <c r="BI559" s="33"/>
      <c r="BJ559" s="33">
        <f>SUM(BG559:BI559)</f>
        <v>0</v>
      </c>
    </row>
    <row r="560" spans="1:80" ht="37.5" x14ac:dyDescent="0.25">
      <c r="A560" s="197"/>
      <c r="B560" s="173"/>
      <c r="C560" s="151" t="s">
        <v>37</v>
      </c>
      <c r="D560" s="168"/>
      <c r="E560" s="166"/>
      <c r="F560" s="142" t="s">
        <v>60</v>
      </c>
      <c r="G560" s="142" t="s">
        <v>230</v>
      </c>
      <c r="H560" s="141">
        <v>622</v>
      </c>
      <c r="I560" s="33">
        <f>12500-7000</f>
        <v>5500</v>
      </c>
      <c r="J560" s="33">
        <v>0</v>
      </c>
      <c r="K560" s="33">
        <v>0</v>
      </c>
      <c r="L560" s="33">
        <v>0</v>
      </c>
      <c r="M560" s="33">
        <v>0</v>
      </c>
      <c r="N560" s="33">
        <v>0</v>
      </c>
      <c r="O560" s="33">
        <v>0</v>
      </c>
      <c r="P560" s="33">
        <v>0</v>
      </c>
      <c r="Q560" s="33">
        <v>0</v>
      </c>
      <c r="R560" s="33">
        <v>0</v>
      </c>
      <c r="S560" s="33">
        <f t="shared" si="237"/>
        <v>5500</v>
      </c>
      <c r="AW560" s="60"/>
      <c r="BB560" s="140"/>
      <c r="BC560" s="141"/>
      <c r="BD560" s="142"/>
      <c r="BE560" s="142"/>
      <c r="BF560" s="142"/>
      <c r="BG560" s="33"/>
      <c r="BH560" s="33"/>
      <c r="BI560" s="33"/>
      <c r="BJ560" s="33"/>
    </row>
    <row r="561" spans="1:62" ht="56.25" x14ac:dyDescent="0.25">
      <c r="A561" s="197"/>
      <c r="B561" s="173"/>
      <c r="C561" s="53" t="s">
        <v>187</v>
      </c>
      <c r="D561" s="168" t="s">
        <v>232</v>
      </c>
      <c r="E561" s="166">
        <v>900</v>
      </c>
      <c r="F561" s="61"/>
      <c r="G561" s="61"/>
      <c r="H561" s="147"/>
      <c r="I561" s="33">
        <f>I562</f>
        <v>15099.91338</v>
      </c>
      <c r="J561" s="33">
        <f t="shared" ref="J561:N563" si="245">J562</f>
        <v>0</v>
      </c>
      <c r="K561" s="33">
        <f t="shared" si="245"/>
        <v>0</v>
      </c>
      <c r="L561" s="33">
        <f t="shared" si="245"/>
        <v>0</v>
      </c>
      <c r="M561" s="33">
        <f t="shared" si="245"/>
        <v>0</v>
      </c>
      <c r="N561" s="33">
        <f t="shared" si="245"/>
        <v>0</v>
      </c>
      <c r="O561" s="33">
        <v>0</v>
      </c>
      <c r="P561" s="33">
        <v>0</v>
      </c>
      <c r="Q561" s="33">
        <v>0</v>
      </c>
      <c r="R561" s="33">
        <v>0</v>
      </c>
      <c r="S561" s="33">
        <f t="shared" si="237"/>
        <v>15099.91338</v>
      </c>
      <c r="AW561" s="159" t="s">
        <v>60</v>
      </c>
      <c r="BB561" s="140"/>
      <c r="BC561" s="141"/>
      <c r="BD561" s="142"/>
      <c r="BE561" s="142"/>
      <c r="BF561" s="142"/>
      <c r="BG561" s="33"/>
      <c r="BH561" s="33"/>
      <c r="BI561" s="33"/>
      <c r="BJ561" s="33"/>
    </row>
    <row r="562" spans="1:62" ht="44.25" customHeight="1" x14ac:dyDescent="0.25">
      <c r="A562" s="197"/>
      <c r="B562" s="173"/>
      <c r="C562" s="151" t="s">
        <v>37</v>
      </c>
      <c r="D562" s="168"/>
      <c r="E562" s="166"/>
      <c r="F562" s="142" t="s">
        <v>60</v>
      </c>
      <c r="G562" s="142" t="s">
        <v>230</v>
      </c>
      <c r="H562" s="141">
        <v>622</v>
      </c>
      <c r="I562" s="33">
        <f>15000+75100-75000-0.08662</f>
        <v>15099.91338</v>
      </c>
      <c r="J562" s="33">
        <v>0</v>
      </c>
      <c r="K562" s="33">
        <v>0</v>
      </c>
      <c r="L562" s="33">
        <v>0</v>
      </c>
      <c r="M562" s="33">
        <v>0</v>
      </c>
      <c r="N562" s="33">
        <v>0</v>
      </c>
      <c r="O562" s="33">
        <v>0</v>
      </c>
      <c r="P562" s="33">
        <v>0</v>
      </c>
      <c r="Q562" s="33">
        <v>0</v>
      </c>
      <c r="R562" s="33">
        <v>0</v>
      </c>
      <c r="S562" s="33">
        <f t="shared" si="237"/>
        <v>15099.91338</v>
      </c>
      <c r="AW562" s="161"/>
      <c r="BB562" s="140"/>
      <c r="BC562" s="141"/>
      <c r="BD562" s="142"/>
      <c r="BE562" s="142"/>
      <c r="BF562" s="142"/>
      <c r="BG562" s="33"/>
      <c r="BH562" s="33"/>
      <c r="BI562" s="33"/>
      <c r="BJ562" s="33"/>
    </row>
    <row r="563" spans="1:62" ht="80.25" customHeight="1" x14ac:dyDescent="0.25">
      <c r="A563" s="197"/>
      <c r="B563" s="173"/>
      <c r="C563" s="53" t="s">
        <v>228</v>
      </c>
      <c r="D563" s="168"/>
      <c r="E563" s="166"/>
      <c r="F563" s="142" t="s">
        <v>74</v>
      </c>
      <c r="G563" s="142" t="s">
        <v>74</v>
      </c>
      <c r="H563" s="141" t="s">
        <v>74</v>
      </c>
      <c r="I563" s="33">
        <f>I564</f>
        <v>0</v>
      </c>
      <c r="J563" s="33">
        <f>J564</f>
        <v>0</v>
      </c>
      <c r="K563" s="33">
        <f t="shared" si="245"/>
        <v>0</v>
      </c>
      <c r="L563" s="33">
        <f t="shared" si="245"/>
        <v>0</v>
      </c>
      <c r="M563" s="33">
        <f t="shared" si="245"/>
        <v>0</v>
      </c>
      <c r="N563" s="33">
        <f t="shared" si="245"/>
        <v>0</v>
      </c>
      <c r="O563" s="33">
        <v>0</v>
      </c>
      <c r="P563" s="33">
        <v>0</v>
      </c>
      <c r="Q563" s="33">
        <v>0</v>
      </c>
      <c r="R563" s="33">
        <v>0</v>
      </c>
      <c r="S563" s="33">
        <f t="shared" si="237"/>
        <v>0</v>
      </c>
      <c r="AW563" s="54"/>
      <c r="BB563" s="140"/>
      <c r="BC563" s="141"/>
      <c r="BD563" s="142"/>
      <c r="BE563" s="142"/>
      <c r="BF563" s="142"/>
      <c r="BG563" s="33"/>
      <c r="BH563" s="33"/>
      <c r="BI563" s="33"/>
      <c r="BJ563" s="33"/>
    </row>
    <row r="564" spans="1:62" ht="44.25" customHeight="1" x14ac:dyDescent="0.25">
      <c r="A564" s="197"/>
      <c r="B564" s="173"/>
      <c r="C564" s="151" t="s">
        <v>37</v>
      </c>
      <c r="D564" s="168"/>
      <c r="E564" s="166"/>
      <c r="F564" s="142" t="s">
        <v>60</v>
      </c>
      <c r="G564" s="142" t="s">
        <v>193</v>
      </c>
      <c r="H564" s="141">
        <v>622</v>
      </c>
      <c r="I564" s="33">
        <v>0</v>
      </c>
      <c r="J564" s="33">
        <v>0</v>
      </c>
      <c r="K564" s="33">
        <v>0</v>
      </c>
      <c r="L564" s="33">
        <v>0</v>
      </c>
      <c r="M564" s="33">
        <v>0</v>
      </c>
      <c r="N564" s="33">
        <v>0</v>
      </c>
      <c r="O564" s="33">
        <v>0</v>
      </c>
      <c r="P564" s="33">
        <v>0</v>
      </c>
      <c r="Q564" s="33">
        <v>0</v>
      </c>
      <c r="R564" s="33">
        <v>0</v>
      </c>
      <c r="S564" s="33">
        <f t="shared" si="237"/>
        <v>0</v>
      </c>
      <c r="AW564" s="54"/>
      <c r="BB564" s="140"/>
      <c r="BC564" s="141"/>
      <c r="BD564" s="142"/>
      <c r="BE564" s="142"/>
      <c r="BF564" s="142"/>
      <c r="BG564" s="33"/>
      <c r="BH564" s="33"/>
      <c r="BI564" s="33"/>
      <c r="BJ564" s="33"/>
    </row>
    <row r="565" spans="1:62" ht="56.25" x14ac:dyDescent="0.25">
      <c r="A565" s="197"/>
      <c r="B565" s="173"/>
      <c r="C565" s="53" t="s">
        <v>187</v>
      </c>
      <c r="D565" s="168" t="s">
        <v>251</v>
      </c>
      <c r="E565" s="166">
        <v>900</v>
      </c>
      <c r="F565" s="142"/>
      <c r="G565" s="142"/>
      <c r="H565" s="141"/>
      <c r="I565" s="33">
        <v>0</v>
      </c>
      <c r="J565" s="33">
        <f>J566</f>
        <v>4999.9399999999996</v>
      </c>
      <c r="K565" s="33">
        <v>0</v>
      </c>
      <c r="L565" s="33">
        <v>0</v>
      </c>
      <c r="M565" s="33">
        <v>0</v>
      </c>
      <c r="N565" s="33">
        <v>0</v>
      </c>
      <c r="O565" s="33">
        <v>0</v>
      </c>
      <c r="P565" s="33">
        <v>0</v>
      </c>
      <c r="Q565" s="33">
        <v>0</v>
      </c>
      <c r="R565" s="33">
        <v>0</v>
      </c>
      <c r="S565" s="33">
        <f t="shared" ref="S565:S579" si="246">SUM(I565:R565)</f>
        <v>4999.9399999999996</v>
      </c>
      <c r="AW565" s="54"/>
      <c r="BB565" s="140"/>
      <c r="BC565" s="141"/>
      <c r="BD565" s="142"/>
      <c r="BE565" s="142"/>
      <c r="BF565" s="142"/>
      <c r="BG565" s="33"/>
      <c r="BH565" s="33"/>
      <c r="BI565" s="33"/>
      <c r="BJ565" s="33"/>
    </row>
    <row r="566" spans="1:62" ht="37.5" x14ac:dyDescent="0.25">
      <c r="A566" s="197"/>
      <c r="B566" s="173"/>
      <c r="C566" s="151" t="s">
        <v>37</v>
      </c>
      <c r="D566" s="168"/>
      <c r="E566" s="166"/>
      <c r="F566" s="142" t="s">
        <v>60</v>
      </c>
      <c r="G566" s="142" t="s">
        <v>230</v>
      </c>
      <c r="H566" s="141">
        <v>622</v>
      </c>
      <c r="I566" s="33">
        <v>0</v>
      </c>
      <c r="J566" s="33">
        <v>4999.9399999999996</v>
      </c>
      <c r="K566" s="33">
        <v>0</v>
      </c>
      <c r="L566" s="33">
        <v>0</v>
      </c>
      <c r="M566" s="33">
        <v>0</v>
      </c>
      <c r="N566" s="33">
        <v>0</v>
      </c>
      <c r="O566" s="33">
        <v>0</v>
      </c>
      <c r="P566" s="33">
        <v>0</v>
      </c>
      <c r="Q566" s="33">
        <v>0</v>
      </c>
      <c r="R566" s="33">
        <v>0</v>
      </c>
      <c r="S566" s="33">
        <f t="shared" si="246"/>
        <v>4999.9399999999996</v>
      </c>
      <c r="AW566" s="54"/>
      <c r="BB566" s="140"/>
      <c r="BC566" s="141"/>
      <c r="BD566" s="142"/>
      <c r="BE566" s="142"/>
      <c r="BF566" s="142"/>
      <c r="BG566" s="33"/>
      <c r="BH566" s="33"/>
      <c r="BI566" s="33"/>
      <c r="BJ566" s="33"/>
    </row>
    <row r="567" spans="1:62" ht="56.25" x14ac:dyDescent="0.25">
      <c r="A567" s="197"/>
      <c r="B567" s="173"/>
      <c r="C567" s="53" t="s">
        <v>188</v>
      </c>
      <c r="D567" s="168" t="s">
        <v>175</v>
      </c>
      <c r="E567" s="166">
        <v>918</v>
      </c>
      <c r="F567" s="142" t="s">
        <v>74</v>
      </c>
      <c r="G567" s="142" t="s">
        <v>74</v>
      </c>
      <c r="H567" s="141" t="s">
        <v>74</v>
      </c>
      <c r="I567" s="33">
        <v>12500</v>
      </c>
      <c r="J567" s="33">
        <f>J568</f>
        <v>6770.59</v>
      </c>
      <c r="K567" s="33">
        <v>0</v>
      </c>
      <c r="L567" s="33">
        <v>0</v>
      </c>
      <c r="M567" s="33">
        <v>0</v>
      </c>
      <c r="N567" s="33">
        <v>0</v>
      </c>
      <c r="O567" s="33">
        <v>0</v>
      </c>
      <c r="P567" s="33">
        <v>0</v>
      </c>
      <c r="Q567" s="33">
        <v>0</v>
      </c>
      <c r="R567" s="33">
        <v>0</v>
      </c>
      <c r="S567" s="33">
        <f t="shared" si="246"/>
        <v>19270.59</v>
      </c>
      <c r="BB567" s="140"/>
      <c r="BC567" s="141"/>
      <c r="BD567" s="142"/>
      <c r="BE567" s="142"/>
      <c r="BF567" s="142"/>
      <c r="BG567" s="33"/>
      <c r="BH567" s="33"/>
      <c r="BI567" s="33"/>
      <c r="BJ567" s="33"/>
    </row>
    <row r="568" spans="1:62" ht="37.5" x14ac:dyDescent="0.25">
      <c r="A568" s="197"/>
      <c r="B568" s="173"/>
      <c r="C568" s="151" t="s">
        <v>37</v>
      </c>
      <c r="D568" s="168"/>
      <c r="E568" s="166"/>
      <c r="F568" s="142" t="s">
        <v>60</v>
      </c>
      <c r="G568" s="142" t="s">
        <v>230</v>
      </c>
      <c r="H568" s="141">
        <v>622</v>
      </c>
      <c r="I568" s="33">
        <v>12500</v>
      </c>
      <c r="J568" s="33">
        <v>6770.59</v>
      </c>
      <c r="K568" s="33">
        <v>0</v>
      </c>
      <c r="L568" s="33">
        <v>0</v>
      </c>
      <c r="M568" s="33">
        <v>0</v>
      </c>
      <c r="N568" s="33">
        <v>0</v>
      </c>
      <c r="O568" s="33">
        <v>0</v>
      </c>
      <c r="P568" s="33">
        <v>0</v>
      </c>
      <c r="Q568" s="33">
        <v>0</v>
      </c>
      <c r="R568" s="33">
        <v>0</v>
      </c>
      <c r="S568" s="33">
        <f t="shared" si="246"/>
        <v>19270.59</v>
      </c>
      <c r="BB568" s="140"/>
      <c r="BC568" s="141"/>
      <c r="BD568" s="142"/>
      <c r="BE568" s="142"/>
      <c r="BF568" s="142"/>
      <c r="BG568" s="33"/>
      <c r="BH568" s="33"/>
      <c r="BI568" s="33"/>
      <c r="BJ568" s="33"/>
    </row>
    <row r="569" spans="1:62" ht="120.75" customHeight="1" x14ac:dyDescent="0.25">
      <c r="A569" s="197">
        <v>8</v>
      </c>
      <c r="B569" s="187" t="s">
        <v>236</v>
      </c>
      <c r="C569" s="92" t="s">
        <v>271</v>
      </c>
      <c r="D569" s="181" t="s">
        <v>10</v>
      </c>
      <c r="E569" s="181" t="s">
        <v>74</v>
      </c>
      <c r="F569" s="143" t="s">
        <v>74</v>
      </c>
      <c r="G569" s="143" t="s">
        <v>74</v>
      </c>
      <c r="H569" s="143" t="s">
        <v>74</v>
      </c>
      <c r="I569" s="6">
        <f>I570+I571</f>
        <v>1620600.9</v>
      </c>
      <c r="J569" s="6">
        <f t="shared" ref="J569:M571" si="247">J570+J571</f>
        <v>7067.4</v>
      </c>
      <c r="K569" s="6">
        <f t="shared" si="247"/>
        <v>0</v>
      </c>
      <c r="L569" s="6">
        <f t="shared" si="247"/>
        <v>0</v>
      </c>
      <c r="M569" s="6">
        <f t="shared" si="247"/>
        <v>0</v>
      </c>
      <c r="N569" s="6">
        <f t="shared" ref="N569:O571" si="248">N570+N571</f>
        <v>0</v>
      </c>
      <c r="O569" s="6">
        <f t="shared" si="248"/>
        <v>0</v>
      </c>
      <c r="P569" s="6">
        <f>P570+P571</f>
        <v>0</v>
      </c>
      <c r="Q569" s="6">
        <f>Q570+Q571</f>
        <v>0</v>
      </c>
      <c r="R569" s="6">
        <v>0</v>
      </c>
      <c r="S569" s="33">
        <f t="shared" si="246"/>
        <v>1627668.2999999998</v>
      </c>
      <c r="BB569" s="62"/>
      <c r="BC569" s="63"/>
      <c r="BD569" s="54"/>
      <c r="BE569" s="54"/>
      <c r="BF569" s="54"/>
      <c r="BG569" s="52"/>
      <c r="BH569" s="52"/>
      <c r="BI569" s="52"/>
      <c r="BJ569" s="52"/>
    </row>
    <row r="570" spans="1:62" ht="31.5" hidden="1" customHeight="1" x14ac:dyDescent="0.25">
      <c r="A570" s="197"/>
      <c r="B570" s="188"/>
      <c r="C570" s="199" t="s">
        <v>178</v>
      </c>
      <c r="D570" s="181"/>
      <c r="E570" s="181"/>
      <c r="F570" s="143" t="s">
        <v>74</v>
      </c>
      <c r="G570" s="8" t="s">
        <v>237</v>
      </c>
      <c r="H570" s="143" t="s">
        <v>74</v>
      </c>
      <c r="I570" s="6">
        <f>I573+I576+I578+I580</f>
        <v>1620600.9</v>
      </c>
      <c r="J570" s="6">
        <f>J573+J576+J578+J580</f>
        <v>0</v>
      </c>
      <c r="K570" s="6">
        <f>K573</f>
        <v>0</v>
      </c>
      <c r="L570" s="6">
        <f>L573</f>
        <v>0</v>
      </c>
      <c r="M570" s="6">
        <f t="shared" si="247"/>
        <v>0</v>
      </c>
      <c r="N570" s="6">
        <f t="shared" si="248"/>
        <v>0</v>
      </c>
      <c r="O570" s="6">
        <f t="shared" si="248"/>
        <v>0</v>
      </c>
      <c r="P570" s="6">
        <f>P571+P572</f>
        <v>0</v>
      </c>
      <c r="Q570" s="6"/>
      <c r="R570" s="6"/>
      <c r="S570" s="33">
        <f t="shared" si="246"/>
        <v>1620600.9</v>
      </c>
      <c r="BB570" s="62"/>
      <c r="BC570" s="63"/>
      <c r="BD570" s="54"/>
      <c r="BE570" s="54"/>
      <c r="BF570" s="54"/>
      <c r="BG570" s="52"/>
      <c r="BH570" s="52"/>
      <c r="BI570" s="52"/>
      <c r="BJ570" s="52"/>
    </row>
    <row r="571" spans="1:62" ht="31.5" hidden="1" customHeight="1" x14ac:dyDescent="0.25">
      <c r="A571" s="197"/>
      <c r="B571" s="188"/>
      <c r="C571" s="199"/>
      <c r="D571" s="181"/>
      <c r="E571" s="181"/>
      <c r="F571" s="143"/>
      <c r="G571" s="8" t="s">
        <v>249</v>
      </c>
      <c r="H571" s="143" t="s">
        <v>74</v>
      </c>
      <c r="I571" s="6">
        <v>0</v>
      </c>
      <c r="J571" s="6">
        <v>7067.4</v>
      </c>
      <c r="K571" s="6">
        <f t="shared" si="247"/>
        <v>0</v>
      </c>
      <c r="L571" s="6">
        <f t="shared" si="247"/>
        <v>0</v>
      </c>
      <c r="M571" s="6">
        <f t="shared" si="247"/>
        <v>0</v>
      </c>
      <c r="N571" s="6">
        <f t="shared" si="248"/>
        <v>0</v>
      </c>
      <c r="O571" s="6">
        <f t="shared" si="248"/>
        <v>0</v>
      </c>
      <c r="P571" s="6">
        <f>P572+P573</f>
        <v>0</v>
      </c>
      <c r="Q571" s="6"/>
      <c r="R571" s="6"/>
      <c r="S571" s="33">
        <f t="shared" si="246"/>
        <v>7067.4</v>
      </c>
      <c r="BB571" s="62"/>
      <c r="BC571" s="63"/>
      <c r="BD571" s="54"/>
      <c r="BE571" s="54"/>
      <c r="BF571" s="54"/>
      <c r="BG571" s="52"/>
      <c r="BH571" s="52"/>
      <c r="BI571" s="52"/>
      <c r="BJ571" s="52"/>
    </row>
    <row r="572" spans="1:62" ht="56.25" x14ac:dyDescent="0.25">
      <c r="A572" s="197"/>
      <c r="B572" s="188"/>
      <c r="C572" s="93" t="s">
        <v>239</v>
      </c>
      <c r="D572" s="181"/>
      <c r="E572" s="181"/>
      <c r="F572" s="143" t="s">
        <v>74</v>
      </c>
      <c r="G572" s="143" t="s">
        <v>74</v>
      </c>
      <c r="H572" s="143" t="s">
        <v>74</v>
      </c>
      <c r="I572" s="6">
        <f>I573</f>
        <v>654921.12</v>
      </c>
      <c r="J572" s="6">
        <f>SUM(J573:J574)</f>
        <v>7067.4</v>
      </c>
      <c r="K572" s="6">
        <f t="shared" ref="K572:M574" si="249">K575</f>
        <v>0</v>
      </c>
      <c r="L572" s="6">
        <f t="shared" si="249"/>
        <v>0</v>
      </c>
      <c r="M572" s="6">
        <f t="shared" si="249"/>
        <v>0</v>
      </c>
      <c r="N572" s="6">
        <f t="shared" ref="N572:O574" si="250">N575</f>
        <v>0</v>
      </c>
      <c r="O572" s="6">
        <f t="shared" si="250"/>
        <v>0</v>
      </c>
      <c r="P572" s="6">
        <f t="shared" ref="P572:Q574" si="251">P575</f>
        <v>0</v>
      </c>
      <c r="Q572" s="6">
        <f t="shared" si="251"/>
        <v>0</v>
      </c>
      <c r="R572" s="6">
        <v>0</v>
      </c>
      <c r="S572" s="33">
        <f t="shared" si="246"/>
        <v>661988.52</v>
      </c>
      <c r="BB572" s="62"/>
      <c r="BC572" s="63"/>
      <c r="BD572" s="54"/>
      <c r="BE572" s="54"/>
      <c r="BF572" s="54"/>
      <c r="BG572" s="52"/>
      <c r="BH572" s="52"/>
      <c r="BI572" s="52"/>
      <c r="BJ572" s="52"/>
    </row>
    <row r="573" spans="1:62" ht="29.25" customHeight="1" x14ac:dyDescent="0.25">
      <c r="A573" s="197"/>
      <c r="B573" s="188"/>
      <c r="C573" s="199" t="s">
        <v>178</v>
      </c>
      <c r="D573" s="181"/>
      <c r="E573" s="181"/>
      <c r="F573" s="8"/>
      <c r="G573" s="8" t="s">
        <v>237</v>
      </c>
      <c r="H573" s="143" t="s">
        <v>74</v>
      </c>
      <c r="I573" s="6">
        <f>I586+I596</f>
        <v>654921.12</v>
      </c>
      <c r="J573" s="6">
        <v>0</v>
      </c>
      <c r="K573" s="6">
        <f t="shared" si="249"/>
        <v>0</v>
      </c>
      <c r="L573" s="6">
        <f t="shared" si="249"/>
        <v>0</v>
      </c>
      <c r="M573" s="6">
        <f t="shared" si="249"/>
        <v>0</v>
      </c>
      <c r="N573" s="6">
        <f t="shared" si="250"/>
        <v>0</v>
      </c>
      <c r="O573" s="6">
        <f t="shared" si="250"/>
        <v>0</v>
      </c>
      <c r="P573" s="6">
        <f t="shared" si="251"/>
        <v>0</v>
      </c>
      <c r="Q573" s="6">
        <f t="shared" si="251"/>
        <v>0</v>
      </c>
      <c r="R573" s="6">
        <v>0</v>
      </c>
      <c r="S573" s="33">
        <f t="shared" si="246"/>
        <v>654921.12</v>
      </c>
      <c r="BB573" s="62"/>
      <c r="BC573" s="63"/>
      <c r="BD573" s="54"/>
      <c r="BE573" s="54"/>
      <c r="BF573" s="54"/>
      <c r="BG573" s="52"/>
      <c r="BH573" s="52"/>
      <c r="BI573" s="52"/>
      <c r="BJ573" s="52"/>
    </row>
    <row r="574" spans="1:62" ht="25.5" customHeight="1" x14ac:dyDescent="0.25">
      <c r="A574" s="197"/>
      <c r="B574" s="188"/>
      <c r="C574" s="199"/>
      <c r="D574" s="181"/>
      <c r="E574" s="181"/>
      <c r="F574" s="8"/>
      <c r="G574" s="8" t="s">
        <v>249</v>
      </c>
      <c r="H574" s="143" t="s">
        <v>74</v>
      </c>
      <c r="I574" s="6">
        <v>0</v>
      </c>
      <c r="J574" s="6">
        <v>7067.4</v>
      </c>
      <c r="K574" s="6">
        <f t="shared" si="249"/>
        <v>0</v>
      </c>
      <c r="L574" s="6">
        <f t="shared" si="249"/>
        <v>0</v>
      </c>
      <c r="M574" s="6">
        <f t="shared" si="249"/>
        <v>0</v>
      </c>
      <c r="N574" s="6">
        <f t="shared" si="250"/>
        <v>0</v>
      </c>
      <c r="O574" s="6">
        <f t="shared" si="250"/>
        <v>0</v>
      </c>
      <c r="P574" s="6">
        <f t="shared" si="251"/>
        <v>0</v>
      </c>
      <c r="Q574" s="6">
        <f t="shared" si="251"/>
        <v>0</v>
      </c>
      <c r="R574" s="6">
        <v>0</v>
      </c>
      <c r="S574" s="33">
        <f t="shared" si="246"/>
        <v>7067.4</v>
      </c>
      <c r="BB574" s="62"/>
      <c r="BC574" s="63"/>
      <c r="BD574" s="54"/>
      <c r="BE574" s="54"/>
      <c r="BF574" s="54"/>
      <c r="BG574" s="52"/>
      <c r="BH574" s="52"/>
      <c r="BI574" s="52"/>
      <c r="BJ574" s="52"/>
    </row>
    <row r="575" spans="1:62" ht="56.25" x14ac:dyDescent="0.25">
      <c r="A575" s="197"/>
      <c r="B575" s="188"/>
      <c r="C575" s="93" t="s">
        <v>240</v>
      </c>
      <c r="D575" s="181"/>
      <c r="E575" s="181"/>
      <c r="F575" s="143" t="s">
        <v>74</v>
      </c>
      <c r="G575" s="143" t="s">
        <v>74</v>
      </c>
      <c r="H575" s="143" t="s">
        <v>74</v>
      </c>
      <c r="I575" s="6">
        <f>I576</f>
        <v>294289.74</v>
      </c>
      <c r="J575" s="6">
        <f>J576</f>
        <v>0</v>
      </c>
      <c r="K575" s="6">
        <f t="shared" ref="J575:M593" si="252">K577</f>
        <v>0</v>
      </c>
      <c r="L575" s="6">
        <f t="shared" si="252"/>
        <v>0</v>
      </c>
      <c r="M575" s="6">
        <f t="shared" si="252"/>
        <v>0</v>
      </c>
      <c r="N575" s="6">
        <f t="shared" ref="N575:O580" si="253">N577</f>
        <v>0</v>
      </c>
      <c r="O575" s="6">
        <f t="shared" si="253"/>
        <v>0</v>
      </c>
      <c r="P575" s="6">
        <f t="shared" ref="P575:Q580" si="254">P577</f>
        <v>0</v>
      </c>
      <c r="Q575" s="6">
        <f t="shared" si="254"/>
        <v>0</v>
      </c>
      <c r="R575" s="6">
        <v>0</v>
      </c>
      <c r="S575" s="33">
        <f t="shared" si="246"/>
        <v>294289.74</v>
      </c>
      <c r="BB575" s="62"/>
      <c r="BC575" s="63"/>
      <c r="BD575" s="54"/>
      <c r="BE575" s="54"/>
      <c r="BF575" s="54"/>
      <c r="BG575" s="52"/>
      <c r="BH575" s="52"/>
      <c r="BI575" s="52"/>
      <c r="BJ575" s="52"/>
    </row>
    <row r="576" spans="1:62" ht="56.25" x14ac:dyDescent="0.25">
      <c r="A576" s="197"/>
      <c r="B576" s="188"/>
      <c r="C576" s="64" t="s">
        <v>178</v>
      </c>
      <c r="D576" s="181"/>
      <c r="E576" s="181"/>
      <c r="F576" s="8"/>
      <c r="G576" s="8" t="s">
        <v>237</v>
      </c>
      <c r="H576" s="143" t="s">
        <v>74</v>
      </c>
      <c r="I576" s="6">
        <f>I589</f>
        <v>294289.74</v>
      </c>
      <c r="J576" s="6">
        <f>J589</f>
        <v>0</v>
      </c>
      <c r="K576" s="6">
        <f t="shared" si="252"/>
        <v>0</v>
      </c>
      <c r="L576" s="6">
        <f t="shared" si="252"/>
        <v>0</v>
      </c>
      <c r="M576" s="6">
        <f t="shared" si="252"/>
        <v>0</v>
      </c>
      <c r="N576" s="6">
        <f t="shared" si="253"/>
        <v>0</v>
      </c>
      <c r="O576" s="6">
        <f t="shared" si="253"/>
        <v>0</v>
      </c>
      <c r="P576" s="6">
        <f t="shared" si="254"/>
        <v>0</v>
      </c>
      <c r="Q576" s="6">
        <f t="shared" si="254"/>
        <v>0</v>
      </c>
      <c r="R576" s="6">
        <v>0</v>
      </c>
      <c r="S576" s="33">
        <f t="shared" si="246"/>
        <v>294289.74</v>
      </c>
      <c r="BB576" s="62"/>
      <c r="BC576" s="63"/>
      <c r="BD576" s="54"/>
      <c r="BE576" s="54"/>
      <c r="BF576" s="54"/>
      <c r="BG576" s="52"/>
      <c r="BH576" s="52"/>
      <c r="BI576" s="52"/>
      <c r="BJ576" s="52"/>
    </row>
    <row r="577" spans="1:62" ht="93.75" x14ac:dyDescent="0.25">
      <c r="A577" s="197"/>
      <c r="B577" s="188"/>
      <c r="C577" s="93" t="s">
        <v>241</v>
      </c>
      <c r="D577" s="181"/>
      <c r="E577" s="181"/>
      <c r="F577" s="143" t="s">
        <v>74</v>
      </c>
      <c r="G577" s="143" t="s">
        <v>74</v>
      </c>
      <c r="H577" s="143" t="s">
        <v>74</v>
      </c>
      <c r="I577" s="6">
        <f>I578</f>
        <v>613160.04</v>
      </c>
      <c r="J577" s="6">
        <f>J578</f>
        <v>0</v>
      </c>
      <c r="K577" s="6">
        <f t="shared" si="252"/>
        <v>0</v>
      </c>
      <c r="L577" s="6">
        <f t="shared" si="252"/>
        <v>0</v>
      </c>
      <c r="M577" s="6">
        <f t="shared" si="252"/>
        <v>0</v>
      </c>
      <c r="N577" s="6">
        <f t="shared" si="253"/>
        <v>0</v>
      </c>
      <c r="O577" s="6">
        <f t="shared" si="253"/>
        <v>0</v>
      </c>
      <c r="P577" s="6">
        <f t="shared" si="254"/>
        <v>0</v>
      </c>
      <c r="Q577" s="6">
        <f t="shared" si="254"/>
        <v>0</v>
      </c>
      <c r="R577" s="6">
        <v>0</v>
      </c>
      <c r="S577" s="33">
        <f t="shared" si="246"/>
        <v>613160.04</v>
      </c>
      <c r="BB577" s="62"/>
      <c r="BC577" s="63"/>
      <c r="BD577" s="54"/>
      <c r="BE577" s="54"/>
      <c r="BF577" s="54"/>
      <c r="BG577" s="52"/>
      <c r="BH577" s="52"/>
      <c r="BI577" s="52"/>
      <c r="BJ577" s="52"/>
    </row>
    <row r="578" spans="1:62" ht="56.25" x14ac:dyDescent="0.25">
      <c r="A578" s="197"/>
      <c r="B578" s="188"/>
      <c r="C578" s="64" t="s">
        <v>178</v>
      </c>
      <c r="D578" s="181"/>
      <c r="E578" s="181"/>
      <c r="F578" s="8"/>
      <c r="G578" s="8" t="s">
        <v>237</v>
      </c>
      <c r="H578" s="143" t="s">
        <v>74</v>
      </c>
      <c r="I578" s="6">
        <f>I591</f>
        <v>613160.04</v>
      </c>
      <c r="J578" s="6">
        <f>J591</f>
        <v>0</v>
      </c>
      <c r="K578" s="6">
        <f t="shared" si="252"/>
        <v>0</v>
      </c>
      <c r="L578" s="6">
        <f t="shared" si="252"/>
        <v>0</v>
      </c>
      <c r="M578" s="6">
        <f t="shared" si="252"/>
        <v>0</v>
      </c>
      <c r="N578" s="6">
        <f t="shared" si="253"/>
        <v>0</v>
      </c>
      <c r="O578" s="6">
        <f t="shared" si="253"/>
        <v>0</v>
      </c>
      <c r="P578" s="6">
        <f t="shared" si="254"/>
        <v>0</v>
      </c>
      <c r="Q578" s="6">
        <f t="shared" si="254"/>
        <v>0</v>
      </c>
      <c r="R578" s="6">
        <v>0</v>
      </c>
      <c r="S578" s="33">
        <f t="shared" si="246"/>
        <v>613160.04</v>
      </c>
      <c r="BB578" s="62"/>
      <c r="BC578" s="63"/>
      <c r="BD578" s="54"/>
      <c r="BE578" s="54"/>
      <c r="BF578" s="54"/>
      <c r="BG578" s="52"/>
      <c r="BH578" s="52"/>
      <c r="BI578" s="52"/>
      <c r="BJ578" s="52"/>
    </row>
    <row r="579" spans="1:62" ht="93.75" x14ac:dyDescent="0.25">
      <c r="A579" s="197"/>
      <c r="B579" s="188"/>
      <c r="C579" s="93" t="s">
        <v>242</v>
      </c>
      <c r="D579" s="181"/>
      <c r="E579" s="181"/>
      <c r="F579" s="143" t="s">
        <v>74</v>
      </c>
      <c r="G579" s="143" t="s">
        <v>74</v>
      </c>
      <c r="H579" s="143" t="s">
        <v>74</v>
      </c>
      <c r="I579" s="6">
        <f>I580</f>
        <v>58230</v>
      </c>
      <c r="J579" s="6">
        <f>J580</f>
        <v>0</v>
      </c>
      <c r="K579" s="6">
        <f t="shared" si="252"/>
        <v>0</v>
      </c>
      <c r="L579" s="6">
        <f t="shared" si="252"/>
        <v>0</v>
      </c>
      <c r="M579" s="6">
        <f t="shared" si="252"/>
        <v>0</v>
      </c>
      <c r="N579" s="6">
        <f t="shared" si="253"/>
        <v>0</v>
      </c>
      <c r="O579" s="6">
        <f t="shared" si="253"/>
        <v>0</v>
      </c>
      <c r="P579" s="6">
        <f t="shared" si="254"/>
        <v>0</v>
      </c>
      <c r="Q579" s="6">
        <f t="shared" si="254"/>
        <v>0</v>
      </c>
      <c r="R579" s="6">
        <v>0</v>
      </c>
      <c r="S579" s="33">
        <f t="shared" si="246"/>
        <v>58230</v>
      </c>
      <c r="BB579" s="62"/>
      <c r="BC579" s="63"/>
      <c r="BD579" s="54"/>
      <c r="BE579" s="54"/>
      <c r="BF579" s="54"/>
      <c r="BG579" s="52"/>
      <c r="BH579" s="52"/>
      <c r="BI579" s="52"/>
      <c r="BJ579" s="52"/>
    </row>
    <row r="580" spans="1:62" ht="56.25" x14ac:dyDescent="0.25">
      <c r="A580" s="197"/>
      <c r="B580" s="188"/>
      <c r="C580" s="64" t="s">
        <v>178</v>
      </c>
      <c r="D580" s="181"/>
      <c r="E580" s="181"/>
      <c r="F580" s="8"/>
      <c r="G580" s="8" t="s">
        <v>237</v>
      </c>
      <c r="H580" s="143" t="s">
        <v>74</v>
      </c>
      <c r="I580" s="6">
        <f>I593</f>
        <v>58230</v>
      </c>
      <c r="J580" s="6">
        <f>J593</f>
        <v>0</v>
      </c>
      <c r="K580" s="6">
        <f t="shared" si="252"/>
        <v>0</v>
      </c>
      <c r="L580" s="6">
        <f t="shared" si="252"/>
        <v>0</v>
      </c>
      <c r="M580" s="6">
        <f t="shared" si="252"/>
        <v>0</v>
      </c>
      <c r="N580" s="6">
        <f t="shared" si="253"/>
        <v>0</v>
      </c>
      <c r="O580" s="6">
        <f t="shared" si="253"/>
        <v>0</v>
      </c>
      <c r="P580" s="6">
        <f t="shared" si="254"/>
        <v>0</v>
      </c>
      <c r="Q580" s="6">
        <f t="shared" si="254"/>
        <v>0</v>
      </c>
      <c r="R580" s="6">
        <v>0</v>
      </c>
      <c r="S580" s="33">
        <f>SUM(I580:R580)</f>
        <v>58230</v>
      </c>
      <c r="BB580" s="62"/>
      <c r="BC580" s="63"/>
      <c r="BD580" s="54"/>
      <c r="BE580" s="54"/>
      <c r="BF580" s="54"/>
      <c r="BG580" s="52"/>
      <c r="BH580" s="52"/>
      <c r="BI580" s="52"/>
      <c r="BJ580" s="52"/>
    </row>
    <row r="581" spans="1:62" ht="31.5" hidden="1" customHeight="1" x14ac:dyDescent="0.25">
      <c r="A581" s="197"/>
      <c r="B581" s="188"/>
      <c r="C581" s="64" t="s">
        <v>186</v>
      </c>
      <c r="D581" s="182" t="s">
        <v>11</v>
      </c>
      <c r="E581" s="180">
        <v>915</v>
      </c>
      <c r="F581" s="143" t="s">
        <v>74</v>
      </c>
      <c r="G581" s="143" t="s">
        <v>74</v>
      </c>
      <c r="H581" s="143" t="s">
        <v>74</v>
      </c>
      <c r="I581" s="6">
        <f t="shared" ref="I581:N581" si="255">I582+I583</f>
        <v>1444000.9</v>
      </c>
      <c r="J581" s="6">
        <f t="shared" si="255"/>
        <v>7067.4</v>
      </c>
      <c r="K581" s="6">
        <f t="shared" si="255"/>
        <v>0</v>
      </c>
      <c r="L581" s="6">
        <f t="shared" si="255"/>
        <v>0</v>
      </c>
      <c r="M581" s="6">
        <f t="shared" si="255"/>
        <v>0</v>
      </c>
      <c r="N581" s="6">
        <f t="shared" si="255"/>
        <v>0</v>
      </c>
      <c r="O581" s="6"/>
      <c r="P581" s="6"/>
      <c r="Q581" s="6"/>
      <c r="R581" s="6"/>
      <c r="S581" s="33">
        <f>SUM(I581:P581)</f>
        <v>1451068.2999999998</v>
      </c>
      <c r="BB581" s="62"/>
      <c r="BC581" s="63"/>
      <c r="BD581" s="54"/>
      <c r="BE581" s="54"/>
      <c r="BF581" s="54"/>
      <c r="BG581" s="52"/>
      <c r="BH581" s="52"/>
      <c r="BI581" s="52"/>
      <c r="BJ581" s="52"/>
    </row>
    <row r="582" spans="1:62" ht="31.5" hidden="1" customHeight="1" x14ac:dyDescent="0.25">
      <c r="A582" s="197"/>
      <c r="B582" s="188"/>
      <c r="C582" s="199" t="s">
        <v>178</v>
      </c>
      <c r="D582" s="182"/>
      <c r="E582" s="180"/>
      <c r="F582" s="8" t="s">
        <v>60</v>
      </c>
      <c r="G582" s="8" t="s">
        <v>237</v>
      </c>
      <c r="H582" s="143">
        <v>240</v>
      </c>
      <c r="I582" s="6">
        <f>I586+I589+I591+I593</f>
        <v>1444000.9</v>
      </c>
      <c r="J582" s="6">
        <f>J586</f>
        <v>0</v>
      </c>
      <c r="K582" s="6">
        <f>K586</f>
        <v>0</v>
      </c>
      <c r="L582" s="6">
        <f>L586</f>
        <v>0</v>
      </c>
      <c r="M582" s="6">
        <f>M586</f>
        <v>0</v>
      </c>
      <c r="N582" s="6">
        <f>N586</f>
        <v>0</v>
      </c>
      <c r="O582" s="6"/>
      <c r="P582" s="6"/>
      <c r="Q582" s="6"/>
      <c r="R582" s="6"/>
      <c r="S582" s="33">
        <f>SUM(I582:P582)</f>
        <v>1444000.9</v>
      </c>
      <c r="BB582" s="62"/>
      <c r="BC582" s="63"/>
      <c r="BD582" s="54"/>
      <c r="BE582" s="54"/>
      <c r="BF582" s="54"/>
      <c r="BG582" s="52"/>
      <c r="BH582" s="52"/>
      <c r="BI582" s="52"/>
      <c r="BJ582" s="52"/>
    </row>
    <row r="583" spans="1:62" ht="31.5" hidden="1" customHeight="1" x14ac:dyDescent="0.25">
      <c r="A583" s="197"/>
      <c r="B583" s="188"/>
      <c r="C583" s="199"/>
      <c r="D583" s="182"/>
      <c r="E583" s="180"/>
      <c r="F583" s="8" t="s">
        <v>60</v>
      </c>
      <c r="G583" s="8" t="s">
        <v>249</v>
      </c>
      <c r="H583" s="143">
        <v>240</v>
      </c>
      <c r="I583" s="6">
        <v>0</v>
      </c>
      <c r="J583" s="6">
        <v>7067.4</v>
      </c>
      <c r="K583" s="6">
        <f>K585+K586</f>
        <v>0</v>
      </c>
      <c r="L583" s="6">
        <f>L585+L586</f>
        <v>0</v>
      </c>
      <c r="M583" s="6">
        <f>M585+M586</f>
        <v>0</v>
      </c>
      <c r="N583" s="6">
        <f>N585+N586</f>
        <v>0</v>
      </c>
      <c r="O583" s="6"/>
      <c r="P583" s="6"/>
      <c r="Q583" s="6"/>
      <c r="R583" s="6"/>
      <c r="S583" s="33">
        <f>SUM(I583:P583)</f>
        <v>7067.4</v>
      </c>
      <c r="BB583" s="62"/>
      <c r="BC583" s="63"/>
      <c r="BD583" s="54"/>
      <c r="BE583" s="54"/>
      <c r="BF583" s="54"/>
      <c r="BG583" s="52"/>
      <c r="BH583" s="52"/>
      <c r="BI583" s="52"/>
      <c r="BJ583" s="52"/>
    </row>
    <row r="584" spans="1:62" x14ac:dyDescent="0.25">
      <c r="A584" s="197"/>
      <c r="B584" s="188"/>
      <c r="C584" s="26" t="s">
        <v>265</v>
      </c>
      <c r="D584" s="182"/>
      <c r="E584" s="180"/>
      <c r="F584" s="8"/>
      <c r="G584" s="8"/>
      <c r="H584" s="143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33"/>
      <c r="BB584" s="62"/>
      <c r="BC584" s="63"/>
      <c r="BD584" s="54"/>
      <c r="BE584" s="54"/>
      <c r="BF584" s="54"/>
      <c r="BG584" s="52"/>
      <c r="BH584" s="52"/>
      <c r="BI584" s="52"/>
      <c r="BJ584" s="52"/>
    </row>
    <row r="585" spans="1:62" ht="56.25" x14ac:dyDescent="0.25">
      <c r="A585" s="197"/>
      <c r="B585" s="188"/>
      <c r="C585" s="93" t="s">
        <v>239</v>
      </c>
      <c r="D585" s="182"/>
      <c r="E585" s="180"/>
      <c r="F585" s="143" t="s">
        <v>74</v>
      </c>
      <c r="G585" s="143" t="s">
        <v>74</v>
      </c>
      <c r="H585" s="143" t="s">
        <v>74</v>
      </c>
      <c r="I585" s="6">
        <f t="shared" ref="I585:N585" si="256">I586+I587</f>
        <v>478321.12</v>
      </c>
      <c r="J585" s="6">
        <f t="shared" si="256"/>
        <v>7067.4</v>
      </c>
      <c r="K585" s="6">
        <f t="shared" si="256"/>
        <v>0</v>
      </c>
      <c r="L585" s="6">
        <f t="shared" si="256"/>
        <v>0</v>
      </c>
      <c r="M585" s="6">
        <f t="shared" si="256"/>
        <v>0</v>
      </c>
      <c r="N585" s="6">
        <f t="shared" si="256"/>
        <v>0</v>
      </c>
      <c r="O585" s="6">
        <f>O586+O587</f>
        <v>0</v>
      </c>
      <c r="P585" s="6">
        <f>P586+P587</f>
        <v>0</v>
      </c>
      <c r="Q585" s="6">
        <f>Q586+Q587</f>
        <v>0</v>
      </c>
      <c r="R585" s="6">
        <v>0</v>
      </c>
      <c r="S585" s="33">
        <f>SUM(I585:R585)</f>
        <v>485388.52</v>
      </c>
      <c r="BB585" s="62"/>
      <c r="BC585" s="63"/>
      <c r="BD585" s="54"/>
      <c r="BE585" s="54"/>
      <c r="BF585" s="54"/>
      <c r="BG585" s="52"/>
      <c r="BH585" s="52"/>
      <c r="BI585" s="52"/>
      <c r="BJ585" s="52"/>
    </row>
    <row r="586" spans="1:62" ht="31.5" customHeight="1" x14ac:dyDescent="0.25">
      <c r="A586" s="197"/>
      <c r="B586" s="188"/>
      <c r="C586" s="199" t="s">
        <v>178</v>
      </c>
      <c r="D586" s="182"/>
      <c r="E586" s="180"/>
      <c r="F586" s="8" t="s">
        <v>60</v>
      </c>
      <c r="G586" s="8" t="s">
        <v>237</v>
      </c>
      <c r="H586" s="143">
        <v>240</v>
      </c>
      <c r="I586" s="6">
        <v>478321.12</v>
      </c>
      <c r="J586" s="6">
        <v>0</v>
      </c>
      <c r="K586" s="6">
        <f t="shared" ref="K586:P586" si="257">K589</f>
        <v>0</v>
      </c>
      <c r="L586" s="6">
        <f t="shared" si="257"/>
        <v>0</v>
      </c>
      <c r="M586" s="6">
        <f t="shared" si="257"/>
        <v>0</v>
      </c>
      <c r="N586" s="6">
        <f t="shared" si="257"/>
        <v>0</v>
      </c>
      <c r="O586" s="6">
        <f t="shared" si="257"/>
        <v>0</v>
      </c>
      <c r="P586" s="6">
        <f t="shared" si="257"/>
        <v>0</v>
      </c>
      <c r="Q586" s="6">
        <f>Q589</f>
        <v>0</v>
      </c>
      <c r="R586" s="6">
        <v>0</v>
      </c>
      <c r="S586" s="33">
        <f t="shared" ref="S586:S649" si="258">SUM(I586:R586)</f>
        <v>478321.12</v>
      </c>
      <c r="BB586" s="62"/>
      <c r="BC586" s="63"/>
      <c r="BD586" s="54"/>
      <c r="BE586" s="54"/>
      <c r="BF586" s="54"/>
      <c r="BG586" s="52"/>
      <c r="BH586" s="52"/>
      <c r="BI586" s="52"/>
      <c r="BJ586" s="52"/>
    </row>
    <row r="587" spans="1:62" ht="33.75" customHeight="1" x14ac:dyDescent="0.25">
      <c r="A587" s="197"/>
      <c r="B587" s="188"/>
      <c r="C587" s="199"/>
      <c r="D587" s="182"/>
      <c r="E587" s="180"/>
      <c r="F587" s="8" t="s">
        <v>60</v>
      </c>
      <c r="G587" s="8" t="s">
        <v>249</v>
      </c>
      <c r="H587" s="143">
        <v>240</v>
      </c>
      <c r="I587" s="6">
        <v>0</v>
      </c>
      <c r="J587" s="6">
        <v>7067.4</v>
      </c>
      <c r="K587" s="6">
        <f t="shared" ref="K587:P587" si="259">K588+K589</f>
        <v>0</v>
      </c>
      <c r="L587" s="6">
        <f t="shared" si="259"/>
        <v>0</v>
      </c>
      <c r="M587" s="6">
        <f t="shared" si="259"/>
        <v>0</v>
      </c>
      <c r="N587" s="6">
        <f t="shared" si="259"/>
        <v>0</v>
      </c>
      <c r="O587" s="6">
        <f t="shared" si="259"/>
        <v>0</v>
      </c>
      <c r="P587" s="6">
        <f t="shared" si="259"/>
        <v>0</v>
      </c>
      <c r="Q587" s="6">
        <f>Q588+Q589</f>
        <v>0</v>
      </c>
      <c r="R587" s="6">
        <v>0</v>
      </c>
      <c r="S587" s="33">
        <f t="shared" si="258"/>
        <v>7067.4</v>
      </c>
      <c r="BB587" s="62"/>
      <c r="BC587" s="63"/>
      <c r="BD587" s="54"/>
      <c r="BE587" s="54"/>
      <c r="BF587" s="54"/>
      <c r="BG587" s="52"/>
      <c r="BH587" s="52"/>
      <c r="BI587" s="52"/>
      <c r="BJ587" s="52"/>
    </row>
    <row r="588" spans="1:62" ht="56.25" x14ac:dyDescent="0.25">
      <c r="A588" s="197"/>
      <c r="B588" s="188"/>
      <c r="C588" s="93" t="s">
        <v>240</v>
      </c>
      <c r="D588" s="182"/>
      <c r="E588" s="180"/>
      <c r="F588" s="143" t="s">
        <v>74</v>
      </c>
      <c r="G588" s="143" t="s">
        <v>74</v>
      </c>
      <c r="H588" s="143" t="s">
        <v>74</v>
      </c>
      <c r="I588" s="6">
        <f>I589</f>
        <v>294289.74</v>
      </c>
      <c r="J588" s="6">
        <f t="shared" si="252"/>
        <v>0</v>
      </c>
      <c r="K588" s="6">
        <f t="shared" si="252"/>
        <v>0</v>
      </c>
      <c r="L588" s="6">
        <f t="shared" si="252"/>
        <v>0</v>
      </c>
      <c r="M588" s="6">
        <f t="shared" si="252"/>
        <v>0</v>
      </c>
      <c r="N588" s="6">
        <f t="shared" ref="N588:O594" si="260">N590</f>
        <v>0</v>
      </c>
      <c r="O588" s="6">
        <f t="shared" si="260"/>
        <v>0</v>
      </c>
      <c r="P588" s="6">
        <f t="shared" ref="P588:Q594" si="261">P590</f>
        <v>0</v>
      </c>
      <c r="Q588" s="6">
        <f t="shared" si="261"/>
        <v>0</v>
      </c>
      <c r="R588" s="6">
        <v>0</v>
      </c>
      <c r="S588" s="33">
        <f t="shared" si="258"/>
        <v>294289.74</v>
      </c>
      <c r="BB588" s="62"/>
      <c r="BC588" s="63"/>
      <c r="BD588" s="54"/>
      <c r="BE588" s="54"/>
      <c r="BF588" s="54"/>
      <c r="BG588" s="52"/>
      <c r="BH588" s="52"/>
      <c r="BI588" s="52"/>
      <c r="BJ588" s="52"/>
    </row>
    <row r="589" spans="1:62" ht="56.25" x14ac:dyDescent="0.25">
      <c r="A589" s="197"/>
      <c r="B589" s="188"/>
      <c r="C589" s="64" t="s">
        <v>178</v>
      </c>
      <c r="D589" s="182"/>
      <c r="E589" s="180"/>
      <c r="F589" s="8" t="s">
        <v>60</v>
      </c>
      <c r="G589" s="8" t="s">
        <v>237</v>
      </c>
      <c r="H589" s="143">
        <v>240</v>
      </c>
      <c r="I589" s="6">
        <v>294289.74</v>
      </c>
      <c r="J589" s="6">
        <f t="shared" si="252"/>
        <v>0</v>
      </c>
      <c r="K589" s="6">
        <f t="shared" si="252"/>
        <v>0</v>
      </c>
      <c r="L589" s="6">
        <f t="shared" si="252"/>
        <v>0</v>
      </c>
      <c r="M589" s="6">
        <f t="shared" si="252"/>
        <v>0</v>
      </c>
      <c r="N589" s="6">
        <f t="shared" si="260"/>
        <v>0</v>
      </c>
      <c r="O589" s="6">
        <f t="shared" si="260"/>
        <v>0</v>
      </c>
      <c r="P589" s="6">
        <f t="shared" si="261"/>
        <v>0</v>
      </c>
      <c r="Q589" s="6">
        <f t="shared" si="261"/>
        <v>0</v>
      </c>
      <c r="R589" s="6">
        <v>0</v>
      </c>
      <c r="S589" s="33">
        <f t="shared" si="258"/>
        <v>294289.74</v>
      </c>
      <c r="BB589" s="62"/>
      <c r="BC589" s="63"/>
      <c r="BD589" s="54"/>
      <c r="BE589" s="54"/>
      <c r="BF589" s="54"/>
      <c r="BG589" s="52"/>
      <c r="BH589" s="52"/>
      <c r="BI589" s="52"/>
      <c r="BJ589" s="52"/>
    </row>
    <row r="590" spans="1:62" ht="93.75" x14ac:dyDescent="0.25">
      <c r="A590" s="197"/>
      <c r="B590" s="188"/>
      <c r="C590" s="93" t="s">
        <v>241</v>
      </c>
      <c r="D590" s="182"/>
      <c r="E590" s="180"/>
      <c r="F590" s="143" t="s">
        <v>74</v>
      </c>
      <c r="G590" s="143" t="s">
        <v>74</v>
      </c>
      <c r="H590" s="143" t="s">
        <v>74</v>
      </c>
      <c r="I590" s="6">
        <f>I591</f>
        <v>613160.04</v>
      </c>
      <c r="J590" s="6">
        <f t="shared" si="252"/>
        <v>0</v>
      </c>
      <c r="K590" s="6">
        <f t="shared" si="252"/>
        <v>0</v>
      </c>
      <c r="L590" s="6">
        <f t="shared" si="252"/>
        <v>0</v>
      </c>
      <c r="M590" s="6">
        <f t="shared" si="252"/>
        <v>0</v>
      </c>
      <c r="N590" s="6">
        <f t="shared" si="260"/>
        <v>0</v>
      </c>
      <c r="O590" s="6">
        <f t="shared" si="260"/>
        <v>0</v>
      </c>
      <c r="P590" s="6">
        <f t="shared" si="261"/>
        <v>0</v>
      </c>
      <c r="Q590" s="6">
        <f t="shared" si="261"/>
        <v>0</v>
      </c>
      <c r="R590" s="6">
        <v>0</v>
      </c>
      <c r="S590" s="33">
        <f t="shared" si="258"/>
        <v>613160.04</v>
      </c>
      <c r="BB590" s="62"/>
      <c r="BC590" s="63"/>
      <c r="BD590" s="54"/>
      <c r="BE590" s="54"/>
      <c r="BF590" s="54"/>
      <c r="BG590" s="52"/>
      <c r="BH590" s="52"/>
      <c r="BI590" s="52"/>
      <c r="BJ590" s="52"/>
    </row>
    <row r="591" spans="1:62" ht="56.25" x14ac:dyDescent="0.25">
      <c r="A591" s="197"/>
      <c r="B591" s="188"/>
      <c r="C591" s="64" t="s">
        <v>178</v>
      </c>
      <c r="D591" s="182"/>
      <c r="E591" s="180"/>
      <c r="F591" s="8" t="s">
        <v>60</v>
      </c>
      <c r="G591" s="8" t="s">
        <v>237</v>
      </c>
      <c r="H591" s="143">
        <v>240</v>
      </c>
      <c r="I591" s="6">
        <v>613160.04</v>
      </c>
      <c r="J591" s="6">
        <f t="shared" si="252"/>
        <v>0</v>
      </c>
      <c r="K591" s="6">
        <f t="shared" si="252"/>
        <v>0</v>
      </c>
      <c r="L591" s="6">
        <f t="shared" si="252"/>
        <v>0</v>
      </c>
      <c r="M591" s="6">
        <f t="shared" si="252"/>
        <v>0</v>
      </c>
      <c r="N591" s="6">
        <f t="shared" si="260"/>
        <v>0</v>
      </c>
      <c r="O591" s="6">
        <f t="shared" si="260"/>
        <v>0</v>
      </c>
      <c r="P591" s="6">
        <f t="shared" si="261"/>
        <v>0</v>
      </c>
      <c r="Q591" s="6">
        <f t="shared" si="261"/>
        <v>0</v>
      </c>
      <c r="R591" s="6">
        <v>0</v>
      </c>
      <c r="S591" s="33">
        <f t="shared" si="258"/>
        <v>613160.04</v>
      </c>
      <c r="BB591" s="62"/>
      <c r="BC591" s="63"/>
      <c r="BD591" s="54"/>
      <c r="BE591" s="54"/>
      <c r="BF591" s="54"/>
      <c r="BG591" s="52"/>
      <c r="BH591" s="52"/>
      <c r="BI591" s="52"/>
      <c r="BJ591" s="52"/>
    </row>
    <row r="592" spans="1:62" ht="93.75" x14ac:dyDescent="0.25">
      <c r="A592" s="197"/>
      <c r="B592" s="188"/>
      <c r="C592" s="93" t="s">
        <v>242</v>
      </c>
      <c r="D592" s="182"/>
      <c r="E592" s="180"/>
      <c r="F592" s="143" t="s">
        <v>74</v>
      </c>
      <c r="G592" s="143" t="s">
        <v>74</v>
      </c>
      <c r="H592" s="143" t="s">
        <v>74</v>
      </c>
      <c r="I592" s="6">
        <f>I593</f>
        <v>58230</v>
      </c>
      <c r="J592" s="6">
        <f t="shared" si="252"/>
        <v>0</v>
      </c>
      <c r="K592" s="6">
        <f t="shared" si="252"/>
        <v>0</v>
      </c>
      <c r="L592" s="6">
        <f t="shared" si="252"/>
        <v>0</v>
      </c>
      <c r="M592" s="6">
        <f t="shared" si="252"/>
        <v>0</v>
      </c>
      <c r="N592" s="6">
        <f t="shared" si="260"/>
        <v>0</v>
      </c>
      <c r="O592" s="6">
        <f t="shared" si="260"/>
        <v>0</v>
      </c>
      <c r="P592" s="6">
        <f t="shared" si="261"/>
        <v>0</v>
      </c>
      <c r="Q592" s="6">
        <f t="shared" si="261"/>
        <v>0</v>
      </c>
      <c r="R592" s="6">
        <v>0</v>
      </c>
      <c r="S592" s="33">
        <f t="shared" si="258"/>
        <v>58230</v>
      </c>
      <c r="BB592" s="62"/>
      <c r="BC592" s="63"/>
      <c r="BD592" s="54"/>
      <c r="BE592" s="54"/>
      <c r="BF592" s="54"/>
      <c r="BG592" s="52"/>
      <c r="BH592" s="52"/>
      <c r="BI592" s="52"/>
      <c r="BJ592" s="52"/>
    </row>
    <row r="593" spans="1:81" ht="56.25" x14ac:dyDescent="0.25">
      <c r="A593" s="197"/>
      <c r="B593" s="188"/>
      <c r="C593" s="64" t="s">
        <v>178</v>
      </c>
      <c r="D593" s="182"/>
      <c r="E593" s="180"/>
      <c r="F593" s="8" t="s">
        <v>60</v>
      </c>
      <c r="G593" s="8" t="s">
        <v>237</v>
      </c>
      <c r="H593" s="143">
        <v>240</v>
      </c>
      <c r="I593" s="6">
        <v>58230</v>
      </c>
      <c r="J593" s="6">
        <f t="shared" si="252"/>
        <v>0</v>
      </c>
      <c r="K593" s="6">
        <f t="shared" si="252"/>
        <v>0</v>
      </c>
      <c r="L593" s="6">
        <f t="shared" si="252"/>
        <v>0</v>
      </c>
      <c r="M593" s="6">
        <f t="shared" si="252"/>
        <v>0</v>
      </c>
      <c r="N593" s="6">
        <f t="shared" si="260"/>
        <v>0</v>
      </c>
      <c r="O593" s="6">
        <f t="shared" si="260"/>
        <v>0</v>
      </c>
      <c r="P593" s="6">
        <f t="shared" si="261"/>
        <v>0</v>
      </c>
      <c r="Q593" s="6">
        <f t="shared" si="261"/>
        <v>0</v>
      </c>
      <c r="R593" s="6">
        <v>0</v>
      </c>
      <c r="S593" s="33">
        <f t="shared" si="258"/>
        <v>58230</v>
      </c>
      <c r="BB593" s="62"/>
      <c r="BC593" s="63"/>
      <c r="BD593" s="54"/>
      <c r="BE593" s="54"/>
      <c r="BF593" s="54"/>
      <c r="BG593" s="52"/>
      <c r="BH593" s="52"/>
      <c r="BI593" s="52"/>
      <c r="BJ593" s="52"/>
    </row>
    <row r="594" spans="1:81" s="66" customFormat="1" x14ac:dyDescent="0.25">
      <c r="A594" s="197"/>
      <c r="B594" s="188"/>
      <c r="C594" s="64" t="s">
        <v>186</v>
      </c>
      <c r="D594" s="182" t="s">
        <v>232</v>
      </c>
      <c r="E594" s="180">
        <v>900</v>
      </c>
      <c r="F594" s="8" t="s">
        <v>74</v>
      </c>
      <c r="G594" s="8" t="s">
        <v>74</v>
      </c>
      <c r="H594" s="143" t="s">
        <v>74</v>
      </c>
      <c r="I594" s="6">
        <f>I596</f>
        <v>176600</v>
      </c>
      <c r="J594" s="6">
        <f>J596</f>
        <v>0</v>
      </c>
      <c r="K594" s="6">
        <f>K596</f>
        <v>0</v>
      </c>
      <c r="L594" s="6">
        <f>L596</f>
        <v>0</v>
      </c>
      <c r="M594" s="6">
        <f>M596</f>
        <v>0</v>
      </c>
      <c r="N594" s="6">
        <f t="shared" si="260"/>
        <v>0</v>
      </c>
      <c r="O594" s="6">
        <f t="shared" si="260"/>
        <v>0</v>
      </c>
      <c r="P594" s="6">
        <f t="shared" si="261"/>
        <v>0</v>
      </c>
      <c r="Q594" s="6">
        <f t="shared" si="261"/>
        <v>0</v>
      </c>
      <c r="R594" s="6">
        <v>0</v>
      </c>
      <c r="S594" s="33">
        <f t="shared" si="258"/>
        <v>176600</v>
      </c>
      <c r="T594" s="65"/>
      <c r="U594" s="65"/>
      <c r="V594" s="65"/>
      <c r="Z594" s="65"/>
      <c r="BB594" s="67"/>
      <c r="BC594" s="68"/>
      <c r="BD594" s="69"/>
      <c r="BE594" s="69"/>
      <c r="BF594" s="69"/>
      <c r="BG594" s="70"/>
      <c r="BH594" s="70"/>
      <c r="BI594" s="70"/>
      <c r="BJ594" s="70"/>
    </row>
    <row r="595" spans="1:81" s="66" customFormat="1" ht="56.25" x14ac:dyDescent="0.25">
      <c r="A595" s="197"/>
      <c r="B595" s="188"/>
      <c r="C595" s="93" t="s">
        <v>239</v>
      </c>
      <c r="D595" s="182"/>
      <c r="E595" s="180"/>
      <c r="F595" s="8" t="s">
        <v>74</v>
      </c>
      <c r="G595" s="8" t="s">
        <v>74</v>
      </c>
      <c r="H595" s="143" t="s">
        <v>74</v>
      </c>
      <c r="I595" s="6">
        <f>I596</f>
        <v>176600</v>
      </c>
      <c r="J595" s="6">
        <f t="shared" ref="J595:Q595" si="262">J596</f>
        <v>0</v>
      </c>
      <c r="K595" s="6">
        <f t="shared" si="262"/>
        <v>0</v>
      </c>
      <c r="L595" s="6">
        <f t="shared" si="262"/>
        <v>0</v>
      </c>
      <c r="M595" s="6">
        <f t="shared" si="262"/>
        <v>0</v>
      </c>
      <c r="N595" s="6">
        <f t="shared" si="262"/>
        <v>0</v>
      </c>
      <c r="O595" s="6">
        <f t="shared" si="262"/>
        <v>0</v>
      </c>
      <c r="P595" s="6">
        <f t="shared" si="262"/>
        <v>0</v>
      </c>
      <c r="Q595" s="6">
        <f t="shared" si="262"/>
        <v>0</v>
      </c>
      <c r="R595" s="6">
        <v>0</v>
      </c>
      <c r="S595" s="33">
        <f t="shared" si="258"/>
        <v>176600</v>
      </c>
      <c r="T595" s="65"/>
      <c r="U595" s="65"/>
      <c r="V595" s="65"/>
      <c r="Z595" s="65"/>
      <c r="BB595" s="67"/>
      <c r="BC595" s="68"/>
      <c r="BD595" s="69"/>
      <c r="BE595" s="69"/>
      <c r="BF595" s="69"/>
      <c r="BG595" s="70"/>
      <c r="BH595" s="70"/>
      <c r="BI595" s="70"/>
      <c r="BJ595" s="70"/>
    </row>
    <row r="596" spans="1:81" s="66" customFormat="1" ht="56.25" x14ac:dyDescent="0.25">
      <c r="A596" s="197"/>
      <c r="B596" s="189"/>
      <c r="C596" s="64" t="s">
        <v>178</v>
      </c>
      <c r="D596" s="182"/>
      <c r="E596" s="180"/>
      <c r="F596" s="8" t="s">
        <v>60</v>
      </c>
      <c r="G596" s="8" t="s">
        <v>237</v>
      </c>
      <c r="H596" s="143">
        <v>620</v>
      </c>
      <c r="I596" s="6">
        <v>176600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33">
        <f t="shared" si="258"/>
        <v>176600</v>
      </c>
      <c r="T596" s="65"/>
      <c r="U596" s="65"/>
      <c r="V596" s="65"/>
      <c r="Z596" s="65"/>
      <c r="BB596" s="67"/>
      <c r="BC596" s="68"/>
      <c r="BD596" s="69"/>
      <c r="BE596" s="69"/>
      <c r="BF596" s="69"/>
      <c r="BG596" s="70"/>
      <c r="BH596" s="70"/>
      <c r="BI596" s="70"/>
      <c r="BJ596" s="70"/>
    </row>
    <row r="597" spans="1:81" ht="26.25" hidden="1" customHeight="1" x14ac:dyDescent="0.25">
      <c r="A597" s="197"/>
      <c r="B597" s="146"/>
      <c r="C597" s="151"/>
      <c r="D597" s="140"/>
      <c r="E597" s="141"/>
      <c r="F597" s="142"/>
      <c r="G597" s="142"/>
      <c r="H597" s="141"/>
      <c r="I597" s="33"/>
      <c r="J597" s="33"/>
      <c r="K597" s="6">
        <v>0</v>
      </c>
      <c r="L597" s="6">
        <v>0</v>
      </c>
      <c r="M597" s="6">
        <v>0</v>
      </c>
      <c r="N597" s="6">
        <v>0</v>
      </c>
      <c r="O597" s="6"/>
      <c r="P597" s="6"/>
      <c r="Q597" s="6"/>
      <c r="R597" s="6"/>
      <c r="S597" s="33">
        <f t="shared" si="258"/>
        <v>0</v>
      </c>
      <c r="BB597" s="62"/>
      <c r="BC597" s="63"/>
      <c r="BD597" s="54"/>
      <c r="BE597" s="54"/>
      <c r="BF597" s="54"/>
      <c r="BG597" s="52"/>
      <c r="BH597" s="52"/>
      <c r="BI597" s="52"/>
      <c r="BJ597" s="52"/>
    </row>
    <row r="598" spans="1:81" ht="38.25" customHeight="1" x14ac:dyDescent="0.25">
      <c r="A598" s="172">
        <v>9</v>
      </c>
      <c r="B598" s="204" t="s">
        <v>36</v>
      </c>
      <c r="C598" s="173" t="s">
        <v>201</v>
      </c>
      <c r="D598" s="140" t="s">
        <v>10</v>
      </c>
      <c r="E598" s="141" t="s">
        <v>74</v>
      </c>
      <c r="F598" s="142" t="s">
        <v>74</v>
      </c>
      <c r="G598" s="141">
        <v>1330000000</v>
      </c>
      <c r="H598" s="141" t="s">
        <v>74</v>
      </c>
      <c r="I598" s="33">
        <f>I599+I601+I604</f>
        <v>10175</v>
      </c>
      <c r="J598" s="33">
        <f>J599+J601+J604</f>
        <v>51199.409999999996</v>
      </c>
      <c r="K598" s="33">
        <f>K599+K602+K604</f>
        <v>41870.03</v>
      </c>
      <c r="L598" s="33">
        <f>L599+L602+L604</f>
        <v>74227.31</v>
      </c>
      <c r="M598" s="33">
        <f>M599+M602+M604</f>
        <v>76760.179999999993</v>
      </c>
      <c r="N598" s="33">
        <f>N599+N602+N604</f>
        <v>87213.47</v>
      </c>
      <c r="O598" s="33">
        <f>O600+O603+O604</f>
        <v>97725.731999999989</v>
      </c>
      <c r="P598" s="33">
        <f>P600+P603+P604</f>
        <v>104091.33</v>
      </c>
      <c r="Q598" s="33">
        <f>Q600+Q603+Q604</f>
        <v>27000</v>
      </c>
      <c r="R598" s="33">
        <f>R600+R603+R604</f>
        <v>27000</v>
      </c>
      <c r="S598" s="33">
        <f>SUM(I598:R598)</f>
        <v>597262.46199999994</v>
      </c>
      <c r="AO598" s="35">
        <f>0+0.41+0.03+0.31+0.18+0.28</f>
        <v>1.21</v>
      </c>
      <c r="AP598" s="35">
        <v>433722.17</v>
      </c>
      <c r="AQ598" s="44">
        <f>S598-AP598</f>
        <v>163540.29199999996</v>
      </c>
    </row>
    <row r="599" spans="1:81" ht="60.75" customHeight="1" x14ac:dyDescent="0.25">
      <c r="A599" s="172"/>
      <c r="B599" s="204"/>
      <c r="C599" s="173"/>
      <c r="D599" s="140" t="s">
        <v>11</v>
      </c>
      <c r="E599" s="141">
        <v>915</v>
      </c>
      <c r="F599" s="142" t="s">
        <v>74</v>
      </c>
      <c r="G599" s="141" t="s">
        <v>74</v>
      </c>
      <c r="H599" s="141" t="s">
        <v>74</v>
      </c>
      <c r="I599" s="33">
        <f>I612+I620+I622</f>
        <v>5325</v>
      </c>
      <c r="J599" s="33">
        <f>J612+J620+J622</f>
        <v>18588</v>
      </c>
      <c r="K599" s="33">
        <f>K612+K620+K622+K650</f>
        <v>18410.650000000001</v>
      </c>
      <c r="L599" s="33">
        <f>L612+L620+L622+L650</f>
        <v>18755</v>
      </c>
      <c r="M599" s="33">
        <f>M612+M620+M622+M650</f>
        <v>18151.05</v>
      </c>
      <c r="N599" s="33">
        <f>N612+N620+N622+N650</f>
        <v>16644.5</v>
      </c>
      <c r="O599" s="33">
        <v>0</v>
      </c>
      <c r="P599" s="33">
        <v>0</v>
      </c>
      <c r="Q599" s="33">
        <v>0</v>
      </c>
      <c r="R599" s="33">
        <v>0</v>
      </c>
      <c r="S599" s="33">
        <f t="shared" si="258"/>
        <v>95874.2</v>
      </c>
      <c r="CC599" s="35" t="s">
        <v>151</v>
      </c>
    </row>
    <row r="600" spans="1:81" ht="60.75" customHeight="1" x14ac:dyDescent="0.25">
      <c r="A600" s="172"/>
      <c r="B600" s="204"/>
      <c r="C600" s="173"/>
      <c r="D600" s="140" t="s">
        <v>321</v>
      </c>
      <c r="E600" s="141">
        <v>915</v>
      </c>
      <c r="F600" s="142" t="s">
        <v>74</v>
      </c>
      <c r="G600" s="141" t="s">
        <v>74</v>
      </c>
      <c r="H600" s="141" t="s">
        <v>74</v>
      </c>
      <c r="I600" s="33">
        <v>0</v>
      </c>
      <c r="J600" s="33">
        <v>0</v>
      </c>
      <c r="K600" s="33">
        <v>0</v>
      </c>
      <c r="L600" s="33">
        <v>0</v>
      </c>
      <c r="M600" s="33">
        <v>0</v>
      </c>
      <c r="N600" s="33">
        <v>0</v>
      </c>
      <c r="O600" s="33">
        <f>O612+O621+O622+O651</f>
        <v>19372</v>
      </c>
      <c r="P600" s="33">
        <f>P612+P621+P622+P651</f>
        <v>20000</v>
      </c>
      <c r="Q600" s="33">
        <f>Q612+Q621+Q622+Q651</f>
        <v>20000</v>
      </c>
      <c r="R600" s="33">
        <f>R612+R621+R622+R651</f>
        <v>20000</v>
      </c>
      <c r="S600" s="33">
        <f t="shared" si="258"/>
        <v>79372</v>
      </c>
    </row>
    <row r="601" spans="1:81" ht="48.75" customHeight="1" x14ac:dyDescent="0.25">
      <c r="A601" s="172"/>
      <c r="B601" s="204"/>
      <c r="C601" s="173"/>
      <c r="D601" s="140" t="s">
        <v>257</v>
      </c>
      <c r="E601" s="141">
        <v>908</v>
      </c>
      <c r="F601" s="142" t="s">
        <v>74</v>
      </c>
      <c r="G601" s="141" t="s">
        <v>74</v>
      </c>
      <c r="H601" s="141" t="s">
        <v>74</v>
      </c>
      <c r="I601" s="33">
        <f>I613+I614+I617</f>
        <v>4850</v>
      </c>
      <c r="J601" s="33">
        <f>J613+J614+J617</f>
        <v>1100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33">
        <v>0</v>
      </c>
      <c r="R601" s="33">
        <v>0</v>
      </c>
      <c r="S601" s="33">
        <f t="shared" si="258"/>
        <v>5950</v>
      </c>
    </row>
    <row r="602" spans="1:81" ht="62.25" customHeight="1" x14ac:dyDescent="0.25">
      <c r="A602" s="172"/>
      <c r="B602" s="204"/>
      <c r="C602" s="173"/>
      <c r="D602" s="140" t="s">
        <v>258</v>
      </c>
      <c r="E602" s="141">
        <v>908</v>
      </c>
      <c r="F602" s="142" t="s">
        <v>74</v>
      </c>
      <c r="G602" s="141" t="s">
        <v>74</v>
      </c>
      <c r="H602" s="141" t="s">
        <v>74</v>
      </c>
      <c r="I602" s="6">
        <v>0</v>
      </c>
      <c r="J602" s="6">
        <v>0</v>
      </c>
      <c r="K602" s="33">
        <f>K613+K615+K618</f>
        <v>1849</v>
      </c>
      <c r="L602" s="33">
        <f>L613+L615+L618</f>
        <v>1100</v>
      </c>
      <c r="M602" s="33">
        <f>M613+M615+M618</f>
        <v>3000</v>
      </c>
      <c r="N602" s="33">
        <f>N613+N615+N618</f>
        <v>2000</v>
      </c>
      <c r="O602" s="6">
        <v>0</v>
      </c>
      <c r="P602" s="6">
        <v>0</v>
      </c>
      <c r="Q602" s="33">
        <v>0</v>
      </c>
      <c r="R602" s="33">
        <v>0</v>
      </c>
      <c r="S602" s="33">
        <f t="shared" si="258"/>
        <v>7949</v>
      </c>
    </row>
    <row r="603" spans="1:81" ht="62.25" customHeight="1" x14ac:dyDescent="0.25">
      <c r="A603" s="172"/>
      <c r="B603" s="204"/>
      <c r="C603" s="173"/>
      <c r="D603" s="140" t="s">
        <v>325</v>
      </c>
      <c r="E603" s="141">
        <v>908</v>
      </c>
      <c r="F603" s="142" t="s">
        <v>74</v>
      </c>
      <c r="G603" s="141" t="s">
        <v>74</v>
      </c>
      <c r="H603" s="141" t="s">
        <v>74</v>
      </c>
      <c r="I603" s="6">
        <v>0</v>
      </c>
      <c r="J603" s="6">
        <v>0</v>
      </c>
      <c r="K603" s="6">
        <v>0</v>
      </c>
      <c r="L603" s="6">
        <v>0</v>
      </c>
      <c r="M603" s="6">
        <v>0</v>
      </c>
      <c r="N603" s="6">
        <v>0</v>
      </c>
      <c r="O603" s="33">
        <f>O613+O616+O619</f>
        <v>2000</v>
      </c>
      <c r="P603" s="33">
        <f>P613+P616+P619</f>
        <v>2000</v>
      </c>
      <c r="Q603" s="33">
        <f>Q613+Q616+Q619</f>
        <v>2000</v>
      </c>
      <c r="R603" s="33">
        <f>R613+R616+R619</f>
        <v>2000</v>
      </c>
      <c r="S603" s="33">
        <f t="shared" si="258"/>
        <v>8000</v>
      </c>
    </row>
    <row r="604" spans="1:81" ht="74.25" customHeight="1" x14ac:dyDescent="0.25">
      <c r="A604" s="172"/>
      <c r="B604" s="204"/>
      <c r="C604" s="173"/>
      <c r="D604" s="147" t="s">
        <v>13</v>
      </c>
      <c r="E604" s="142" t="s">
        <v>53</v>
      </c>
      <c r="F604" s="142" t="s">
        <v>74</v>
      </c>
      <c r="G604" s="141" t="s">
        <v>74</v>
      </c>
      <c r="H604" s="142" t="s">
        <v>74</v>
      </c>
      <c r="I604" s="33">
        <f t="shared" ref="I604:N604" si="263">SUM(I605:I611)</f>
        <v>0</v>
      </c>
      <c r="J604" s="33">
        <f t="shared" si="263"/>
        <v>31511.409999999996</v>
      </c>
      <c r="K604" s="33">
        <f t="shared" si="263"/>
        <v>21610.379999999997</v>
      </c>
      <c r="L604" s="33">
        <f>SUM(L605:L611)</f>
        <v>54372.31</v>
      </c>
      <c r="M604" s="33">
        <f t="shared" si="263"/>
        <v>55609.13</v>
      </c>
      <c r="N604" s="33">
        <f t="shared" si="263"/>
        <v>68568.97</v>
      </c>
      <c r="O604" s="33">
        <f>SUM(O605:O611)</f>
        <v>76353.731999999989</v>
      </c>
      <c r="P604" s="33">
        <f>SUM(P605:P611)</f>
        <v>82091.33</v>
      </c>
      <c r="Q604" s="33">
        <f>SUM(Q605:Q611)</f>
        <v>5000</v>
      </c>
      <c r="R604" s="33">
        <f>SUM(R605:R611)</f>
        <v>5000</v>
      </c>
      <c r="S604" s="33">
        <f t="shared" si="258"/>
        <v>400117.26199999999</v>
      </c>
      <c r="AO604" s="35">
        <f>0.41+0.38+0.31+0.13+0.28</f>
        <v>1.51</v>
      </c>
    </row>
    <row r="605" spans="1:81" ht="64.5" customHeight="1" x14ac:dyDescent="0.25">
      <c r="A605" s="172"/>
      <c r="B605" s="204"/>
      <c r="C605" s="173"/>
      <c r="D605" s="140" t="s">
        <v>14</v>
      </c>
      <c r="E605" s="141">
        <v>919</v>
      </c>
      <c r="F605" s="141" t="s">
        <v>74</v>
      </c>
      <c r="G605" s="141" t="s">
        <v>74</v>
      </c>
      <c r="H605" s="141" t="s">
        <v>74</v>
      </c>
      <c r="I605" s="33">
        <f>I630+I654</f>
        <v>0</v>
      </c>
      <c r="J605" s="33">
        <f>J630+J641</f>
        <v>4672.74</v>
      </c>
      <c r="K605" s="33">
        <f t="shared" ref="K605:L611" si="264">K630+K641+K654</f>
        <v>4435.4799999999996</v>
      </c>
      <c r="L605" s="33">
        <f t="shared" si="264"/>
        <v>5715.08</v>
      </c>
      <c r="M605" s="33">
        <f>M630+M641+M654+M663+M664+M665</f>
        <v>4560.4799999999996</v>
      </c>
      <c r="N605" s="33">
        <f>N630+N641+N654+N666</f>
        <v>4558.51</v>
      </c>
      <c r="O605" s="33">
        <f>O630+O641+O654+O667</f>
        <v>5805.5</v>
      </c>
      <c r="P605" s="33">
        <f>P630+P641+P654+P668+P669</f>
        <v>5957.75</v>
      </c>
      <c r="Q605" s="33">
        <f t="shared" ref="Q605:R611" si="265">Q630+Q641+Q654</f>
        <v>400</v>
      </c>
      <c r="R605" s="33">
        <f t="shared" si="265"/>
        <v>400</v>
      </c>
      <c r="S605" s="33">
        <f t="shared" si="258"/>
        <v>36505.54</v>
      </c>
      <c r="AO605" s="35">
        <f>0.74+0.48+0.08+0.48+0.88</f>
        <v>2.66</v>
      </c>
    </row>
    <row r="606" spans="1:81" ht="64.5" customHeight="1" x14ac:dyDescent="0.25">
      <c r="A606" s="172"/>
      <c r="B606" s="204"/>
      <c r="C606" s="173"/>
      <c r="D606" s="140" t="s">
        <v>15</v>
      </c>
      <c r="E606" s="141">
        <v>922</v>
      </c>
      <c r="F606" s="141" t="s">
        <v>74</v>
      </c>
      <c r="G606" s="141" t="s">
        <v>74</v>
      </c>
      <c r="H606" s="141" t="s">
        <v>74</v>
      </c>
      <c r="I606" s="33">
        <f>I631</f>
        <v>0</v>
      </c>
      <c r="J606" s="33">
        <f>J631+J642</f>
        <v>4658.6499999999996</v>
      </c>
      <c r="K606" s="33">
        <f t="shared" si="264"/>
        <v>500</v>
      </c>
      <c r="L606" s="33">
        <f t="shared" si="264"/>
        <v>7656.45</v>
      </c>
      <c r="M606" s="33">
        <f>M631+M642+M655+M670</f>
        <v>800</v>
      </c>
      <c r="N606" s="33">
        <f>N631+N642+N655+N671+N672+N673</f>
        <v>10675.189999999999</v>
      </c>
      <c r="O606" s="33">
        <f>O631+O642+O655+O674+O675</f>
        <v>15928.3</v>
      </c>
      <c r="P606" s="33">
        <f>P655+P676</f>
        <v>10931.82</v>
      </c>
      <c r="Q606" s="33">
        <f t="shared" si="265"/>
        <v>500</v>
      </c>
      <c r="R606" s="33">
        <f t="shared" si="265"/>
        <v>500</v>
      </c>
      <c r="S606" s="33">
        <f t="shared" si="258"/>
        <v>52150.409999999996</v>
      </c>
    </row>
    <row r="607" spans="1:81" ht="64.5" customHeight="1" x14ac:dyDescent="0.25">
      <c r="A607" s="172"/>
      <c r="B607" s="204"/>
      <c r="C607" s="173"/>
      <c r="D607" s="140" t="s">
        <v>16</v>
      </c>
      <c r="E607" s="141">
        <v>925</v>
      </c>
      <c r="F607" s="141" t="s">
        <v>74</v>
      </c>
      <c r="G607" s="141" t="s">
        <v>74</v>
      </c>
      <c r="H607" s="141" t="s">
        <v>74</v>
      </c>
      <c r="I607" s="33">
        <f>I632</f>
        <v>0</v>
      </c>
      <c r="J607" s="33">
        <f>J632+J643</f>
        <v>7534.99</v>
      </c>
      <c r="K607" s="33">
        <f t="shared" si="264"/>
        <v>700</v>
      </c>
      <c r="L607" s="33">
        <f t="shared" si="264"/>
        <v>12189.06</v>
      </c>
      <c r="M607" s="33">
        <f>M632+M643+M656</f>
        <v>1400</v>
      </c>
      <c r="N607" s="33">
        <f>N632+N643+N656</f>
        <v>1400</v>
      </c>
      <c r="O607" s="33">
        <f>O632+O643+O656</f>
        <v>700</v>
      </c>
      <c r="P607" s="33">
        <f>P632+P643+P656</f>
        <v>700</v>
      </c>
      <c r="Q607" s="33">
        <f t="shared" si="265"/>
        <v>700</v>
      </c>
      <c r="R607" s="33">
        <f t="shared" si="265"/>
        <v>700</v>
      </c>
      <c r="S607" s="33">
        <f t="shared" si="258"/>
        <v>26024.05</v>
      </c>
    </row>
    <row r="608" spans="1:81" ht="64.5" customHeight="1" x14ac:dyDescent="0.25">
      <c r="A608" s="172"/>
      <c r="B608" s="204"/>
      <c r="C608" s="173"/>
      <c r="D608" s="140" t="s">
        <v>17</v>
      </c>
      <c r="E608" s="141">
        <v>928</v>
      </c>
      <c r="F608" s="141" t="s">
        <v>74</v>
      </c>
      <c r="G608" s="141" t="s">
        <v>74</v>
      </c>
      <c r="H608" s="141" t="s">
        <v>74</v>
      </c>
      <c r="I608" s="33">
        <f>I633</f>
        <v>0</v>
      </c>
      <c r="J608" s="33">
        <f>J633++J644</f>
        <v>3456.64</v>
      </c>
      <c r="K608" s="33">
        <f t="shared" si="264"/>
        <v>800</v>
      </c>
      <c r="L608" s="33">
        <f t="shared" si="264"/>
        <v>6308.78</v>
      </c>
      <c r="M608" s="33">
        <f>M633+M644+M657+M677</f>
        <v>1600</v>
      </c>
      <c r="N608" s="33">
        <f>N633+N644+N657+N678+N679</f>
        <v>6527.66</v>
      </c>
      <c r="O608" s="33">
        <f>O633+O644+O657+O682+O680+O681</f>
        <v>23370.41</v>
      </c>
      <c r="P608" s="33">
        <f>P657+P683+P684+P685</f>
        <v>25350</v>
      </c>
      <c r="Q608" s="33">
        <f t="shared" si="265"/>
        <v>800</v>
      </c>
      <c r="R608" s="33">
        <f t="shared" si="265"/>
        <v>800</v>
      </c>
      <c r="S608" s="33">
        <f t="shared" si="258"/>
        <v>69013.489999999991</v>
      </c>
    </row>
    <row r="609" spans="1:80" ht="64.5" customHeight="1" x14ac:dyDescent="0.25">
      <c r="A609" s="172"/>
      <c r="B609" s="204"/>
      <c r="C609" s="173"/>
      <c r="D609" s="140" t="s">
        <v>18</v>
      </c>
      <c r="E609" s="141">
        <v>931</v>
      </c>
      <c r="F609" s="141" t="s">
        <v>74</v>
      </c>
      <c r="G609" s="141" t="s">
        <v>74</v>
      </c>
      <c r="H609" s="141" t="s">
        <v>74</v>
      </c>
      <c r="I609" s="33">
        <f>I634</f>
        <v>0</v>
      </c>
      <c r="J609" s="33">
        <f>J634+J645</f>
        <v>2057.6</v>
      </c>
      <c r="K609" s="33">
        <f t="shared" si="264"/>
        <v>700</v>
      </c>
      <c r="L609" s="33">
        <f t="shared" si="264"/>
        <v>4286.7199999999993</v>
      </c>
      <c r="M609" s="33">
        <f>M634+M645+M658+M686</f>
        <v>11365.5</v>
      </c>
      <c r="N609" s="33">
        <f>N634+N645+N658+N686</f>
        <v>1400</v>
      </c>
      <c r="O609" s="33">
        <f>O634+O645+O658+O687+O688</f>
        <v>18511.400000000001</v>
      </c>
      <c r="P609" s="33">
        <f>P658+P689+P687</f>
        <v>12261.5</v>
      </c>
      <c r="Q609" s="33">
        <f t="shared" si="265"/>
        <v>700</v>
      </c>
      <c r="R609" s="33">
        <f t="shared" si="265"/>
        <v>700</v>
      </c>
      <c r="S609" s="33">
        <f t="shared" si="258"/>
        <v>51982.720000000001</v>
      </c>
    </row>
    <row r="610" spans="1:80" ht="64.5" customHeight="1" x14ac:dyDescent="0.25">
      <c r="A610" s="172"/>
      <c r="B610" s="204"/>
      <c r="C610" s="173"/>
      <c r="D610" s="140" t="s">
        <v>19</v>
      </c>
      <c r="E610" s="141">
        <v>934</v>
      </c>
      <c r="F610" s="141" t="s">
        <v>74</v>
      </c>
      <c r="G610" s="141" t="s">
        <v>74</v>
      </c>
      <c r="H610" s="141" t="s">
        <v>74</v>
      </c>
      <c r="I610" s="33">
        <f>I635</f>
        <v>0</v>
      </c>
      <c r="J610" s="33">
        <f>J635+J646</f>
        <v>3336.41</v>
      </c>
      <c r="K610" s="33">
        <f t="shared" si="264"/>
        <v>7900.96</v>
      </c>
      <c r="L610" s="33">
        <f t="shared" si="264"/>
        <v>14305.31</v>
      </c>
      <c r="M610" s="33">
        <f>M635+M646+M659+M690+M691</f>
        <v>18803.940000000002</v>
      </c>
      <c r="N610" s="33">
        <f>N635+N646+N659+N693+N692+N694</f>
        <v>38868.94</v>
      </c>
      <c r="O610" s="33">
        <f>O635+O646+O659+O695</f>
        <v>8837.2819999999992</v>
      </c>
      <c r="P610" s="33">
        <f>P659+P696+P697</f>
        <v>26490.260000000002</v>
      </c>
      <c r="Q610" s="33">
        <f t="shared" si="265"/>
        <v>1500</v>
      </c>
      <c r="R610" s="33">
        <f t="shared" si="265"/>
        <v>1500</v>
      </c>
      <c r="S610" s="33">
        <f t="shared" si="258"/>
        <v>121543.10200000001</v>
      </c>
    </row>
    <row r="611" spans="1:80" ht="64.5" customHeight="1" x14ac:dyDescent="0.25">
      <c r="A611" s="172"/>
      <c r="B611" s="204"/>
      <c r="C611" s="173"/>
      <c r="D611" s="140" t="s">
        <v>20</v>
      </c>
      <c r="E611" s="141">
        <v>937</v>
      </c>
      <c r="F611" s="141" t="s">
        <v>74</v>
      </c>
      <c r="G611" s="141" t="s">
        <v>74</v>
      </c>
      <c r="H611" s="141" t="s">
        <v>74</v>
      </c>
      <c r="I611" s="33">
        <f>I637+I638+I639</f>
        <v>0</v>
      </c>
      <c r="J611" s="33">
        <f>J636+J647</f>
        <v>5794.38</v>
      </c>
      <c r="K611" s="33">
        <f t="shared" si="264"/>
        <v>6573.94</v>
      </c>
      <c r="L611" s="33">
        <f t="shared" si="264"/>
        <v>3910.91</v>
      </c>
      <c r="M611" s="33">
        <f>M636+M647+M660+M698</f>
        <v>17079.21</v>
      </c>
      <c r="N611" s="33">
        <f>N636+N647+N660+N699</f>
        <v>5138.67</v>
      </c>
      <c r="O611" s="33">
        <f>O636+O647+O660+O700</f>
        <v>3200.84</v>
      </c>
      <c r="P611" s="33">
        <f>P636+P647+P660</f>
        <v>400</v>
      </c>
      <c r="Q611" s="33">
        <f t="shared" si="265"/>
        <v>400</v>
      </c>
      <c r="R611" s="33">
        <f t="shared" si="265"/>
        <v>400</v>
      </c>
      <c r="S611" s="33">
        <f t="shared" si="258"/>
        <v>42897.95</v>
      </c>
    </row>
    <row r="612" spans="1:80" s="45" customFormat="1" ht="56.25" hidden="1" x14ac:dyDescent="0.25">
      <c r="A612" s="71">
        <v>7</v>
      </c>
      <c r="B612" s="128" t="s">
        <v>202</v>
      </c>
      <c r="C612" s="72" t="s">
        <v>221</v>
      </c>
      <c r="D612" s="73"/>
      <c r="E612" s="74"/>
      <c r="F612" s="56" t="s">
        <v>74</v>
      </c>
      <c r="G612" s="74" t="s">
        <v>74</v>
      </c>
      <c r="H612" s="74" t="s">
        <v>74</v>
      </c>
      <c r="I612" s="38">
        <v>0</v>
      </c>
      <c r="J612" s="38">
        <v>0</v>
      </c>
      <c r="K612" s="38">
        <v>0</v>
      </c>
      <c r="L612" s="38">
        <v>0</v>
      </c>
      <c r="M612" s="38">
        <v>0</v>
      </c>
      <c r="N612" s="38">
        <v>0</v>
      </c>
      <c r="O612" s="38"/>
      <c r="P612" s="38"/>
      <c r="Q612" s="38"/>
      <c r="R612" s="38"/>
      <c r="S612" s="33">
        <f t="shared" si="258"/>
        <v>0</v>
      </c>
      <c r="T612" s="36"/>
      <c r="U612" s="36"/>
      <c r="V612" s="36"/>
      <c r="Z612" s="36"/>
    </row>
    <row r="613" spans="1:80" ht="356.25" x14ac:dyDescent="0.25">
      <c r="A613" s="149">
        <v>10</v>
      </c>
      <c r="B613" s="146" t="s">
        <v>202</v>
      </c>
      <c r="C613" s="150" t="s">
        <v>217</v>
      </c>
      <c r="D613" s="140" t="s">
        <v>213</v>
      </c>
      <c r="E613" s="141">
        <v>908</v>
      </c>
      <c r="F613" s="142" t="s">
        <v>169</v>
      </c>
      <c r="G613" s="141">
        <v>1330081220</v>
      </c>
      <c r="H613" s="141">
        <v>630</v>
      </c>
      <c r="I613" s="33">
        <v>3500</v>
      </c>
      <c r="J613" s="33">
        <v>0</v>
      </c>
      <c r="K613" s="33">
        <v>0</v>
      </c>
      <c r="L613" s="33">
        <v>0</v>
      </c>
      <c r="M613" s="33">
        <v>0</v>
      </c>
      <c r="N613" s="33">
        <v>0</v>
      </c>
      <c r="O613" s="33">
        <v>0</v>
      </c>
      <c r="P613" s="33">
        <v>0</v>
      </c>
      <c r="Q613" s="33">
        <v>0</v>
      </c>
      <c r="R613" s="33">
        <v>0</v>
      </c>
      <c r="S613" s="33">
        <f t="shared" si="258"/>
        <v>3500</v>
      </c>
    </row>
    <row r="614" spans="1:80" ht="59.25" customHeight="1" x14ac:dyDescent="0.25">
      <c r="A614" s="191">
        <v>11</v>
      </c>
      <c r="B614" s="187" t="s">
        <v>203</v>
      </c>
      <c r="C614" s="183" t="s">
        <v>218</v>
      </c>
      <c r="D614" s="140" t="s">
        <v>213</v>
      </c>
      <c r="E614" s="141">
        <v>908</v>
      </c>
      <c r="F614" s="142" t="s">
        <v>169</v>
      </c>
      <c r="G614" s="141">
        <v>1330081250</v>
      </c>
      <c r="H614" s="141">
        <v>350</v>
      </c>
      <c r="I614" s="33">
        <f>1000-150</f>
        <v>850</v>
      </c>
      <c r="J614" s="33">
        <v>900</v>
      </c>
      <c r="K614" s="33">
        <v>0</v>
      </c>
      <c r="L614" s="33">
        <v>0</v>
      </c>
      <c r="M614" s="33">
        <v>0</v>
      </c>
      <c r="N614" s="33">
        <v>0</v>
      </c>
      <c r="O614" s="33">
        <v>0</v>
      </c>
      <c r="P614" s="33">
        <v>0</v>
      </c>
      <c r="Q614" s="33">
        <v>0</v>
      </c>
      <c r="R614" s="33">
        <v>0</v>
      </c>
      <c r="S614" s="33">
        <f t="shared" si="258"/>
        <v>1750</v>
      </c>
      <c r="CB614" s="35" t="s">
        <v>151</v>
      </c>
    </row>
    <row r="615" spans="1:80" ht="69" customHeight="1" x14ac:dyDescent="0.25">
      <c r="A615" s="196"/>
      <c r="B615" s="188"/>
      <c r="C615" s="184"/>
      <c r="D615" s="140" t="s">
        <v>255</v>
      </c>
      <c r="E615" s="141">
        <v>908</v>
      </c>
      <c r="F615" s="142" t="s">
        <v>169</v>
      </c>
      <c r="G615" s="141">
        <v>1330081250</v>
      </c>
      <c r="H615" s="141">
        <v>350</v>
      </c>
      <c r="I615" s="33">
        <v>0</v>
      </c>
      <c r="J615" s="33">
        <v>0</v>
      </c>
      <c r="K615" s="33">
        <f>900+900</f>
        <v>1800</v>
      </c>
      <c r="L615" s="33">
        <f>900+900-900</f>
        <v>900</v>
      </c>
      <c r="M615" s="33">
        <f>900+900+900</f>
        <v>2700</v>
      </c>
      <c r="N615" s="33">
        <f>900+900</f>
        <v>1800</v>
      </c>
      <c r="O615" s="33">
        <v>0</v>
      </c>
      <c r="P615" s="33">
        <v>0</v>
      </c>
      <c r="Q615" s="33">
        <v>0</v>
      </c>
      <c r="R615" s="33">
        <v>0</v>
      </c>
      <c r="S615" s="33">
        <f t="shared" si="258"/>
        <v>7200</v>
      </c>
    </row>
    <row r="616" spans="1:80" ht="64.5" customHeight="1" x14ac:dyDescent="0.25">
      <c r="A616" s="192"/>
      <c r="B616" s="189"/>
      <c r="C616" s="185"/>
      <c r="D616" s="140" t="s">
        <v>324</v>
      </c>
      <c r="E616" s="141">
        <v>908</v>
      </c>
      <c r="F616" s="142" t="s">
        <v>169</v>
      </c>
      <c r="G616" s="141">
        <v>1330081250</v>
      </c>
      <c r="H616" s="141">
        <v>350</v>
      </c>
      <c r="I616" s="33">
        <v>0</v>
      </c>
      <c r="J616" s="33">
        <v>0</v>
      </c>
      <c r="K616" s="33">
        <v>0</v>
      </c>
      <c r="L616" s="33">
        <v>0</v>
      </c>
      <c r="M616" s="33">
        <v>0</v>
      </c>
      <c r="N616" s="33">
        <v>0</v>
      </c>
      <c r="O616" s="33">
        <f>900+900</f>
        <v>1800</v>
      </c>
      <c r="P616" s="33">
        <v>1800</v>
      </c>
      <c r="Q616" s="33">
        <v>1800</v>
      </c>
      <c r="R616" s="33">
        <v>1800</v>
      </c>
      <c r="S616" s="33">
        <f t="shared" si="258"/>
        <v>7200</v>
      </c>
    </row>
    <row r="617" spans="1:80" ht="53.25" customHeight="1" x14ac:dyDescent="0.25">
      <c r="A617" s="191">
        <v>12</v>
      </c>
      <c r="B617" s="187" t="s">
        <v>208</v>
      </c>
      <c r="C617" s="183" t="s">
        <v>219</v>
      </c>
      <c r="D617" s="140" t="s">
        <v>213</v>
      </c>
      <c r="E617" s="141">
        <v>908</v>
      </c>
      <c r="F617" s="142" t="s">
        <v>169</v>
      </c>
      <c r="G617" s="141">
        <v>1330081260</v>
      </c>
      <c r="H617" s="141">
        <v>620</v>
      </c>
      <c r="I617" s="33">
        <v>500</v>
      </c>
      <c r="J617" s="33">
        <v>200</v>
      </c>
      <c r="K617" s="33">
        <v>0</v>
      </c>
      <c r="L617" s="33">
        <v>0</v>
      </c>
      <c r="M617" s="33">
        <v>0</v>
      </c>
      <c r="N617" s="33">
        <v>0</v>
      </c>
      <c r="O617" s="33">
        <v>0</v>
      </c>
      <c r="P617" s="33">
        <v>0</v>
      </c>
      <c r="Q617" s="33">
        <v>0</v>
      </c>
      <c r="R617" s="33">
        <v>0</v>
      </c>
      <c r="S617" s="33">
        <f t="shared" si="258"/>
        <v>700</v>
      </c>
    </row>
    <row r="618" spans="1:80" ht="66.75" customHeight="1" x14ac:dyDescent="0.25">
      <c r="A618" s="196"/>
      <c r="B618" s="188"/>
      <c r="C618" s="184"/>
      <c r="D618" s="140" t="s">
        <v>255</v>
      </c>
      <c r="E618" s="141">
        <v>908</v>
      </c>
      <c r="F618" s="142" t="s">
        <v>169</v>
      </c>
      <c r="G618" s="141">
        <v>1330081260</v>
      </c>
      <c r="H618" s="141">
        <v>620</v>
      </c>
      <c r="I618" s="33">
        <v>0</v>
      </c>
      <c r="J618" s="33">
        <v>0</v>
      </c>
      <c r="K618" s="33">
        <f>200-151</f>
        <v>49</v>
      </c>
      <c r="L618" s="33">
        <v>200</v>
      </c>
      <c r="M618" s="33">
        <f>200+100</f>
        <v>300</v>
      </c>
      <c r="N618" s="33">
        <v>200</v>
      </c>
      <c r="O618" s="33">
        <v>0</v>
      </c>
      <c r="P618" s="33">
        <v>0</v>
      </c>
      <c r="Q618" s="33">
        <v>0</v>
      </c>
      <c r="R618" s="33">
        <v>0</v>
      </c>
      <c r="S618" s="33">
        <f t="shared" si="258"/>
        <v>749</v>
      </c>
    </row>
    <row r="619" spans="1:80" ht="55.5" customHeight="1" x14ac:dyDescent="0.25">
      <c r="A619" s="192"/>
      <c r="B619" s="189"/>
      <c r="C619" s="185"/>
      <c r="D619" s="140" t="s">
        <v>324</v>
      </c>
      <c r="E619" s="141">
        <v>908</v>
      </c>
      <c r="F619" s="142" t="s">
        <v>169</v>
      </c>
      <c r="G619" s="141">
        <v>1330081260</v>
      </c>
      <c r="H619" s="141">
        <v>620</v>
      </c>
      <c r="I619" s="33">
        <v>0</v>
      </c>
      <c r="J619" s="33">
        <v>0</v>
      </c>
      <c r="K619" s="33">
        <v>0</v>
      </c>
      <c r="L619" s="33">
        <v>0</v>
      </c>
      <c r="M619" s="33">
        <v>0</v>
      </c>
      <c r="N619" s="33">
        <v>0</v>
      </c>
      <c r="O619" s="33">
        <v>200</v>
      </c>
      <c r="P619" s="33">
        <v>200</v>
      </c>
      <c r="Q619" s="33">
        <v>200</v>
      </c>
      <c r="R619" s="33">
        <v>200</v>
      </c>
      <c r="S619" s="33">
        <f t="shared" si="258"/>
        <v>800</v>
      </c>
    </row>
    <row r="620" spans="1:80" ht="47.25" customHeight="1" x14ac:dyDescent="0.25">
      <c r="A620" s="191">
        <v>13</v>
      </c>
      <c r="B620" s="187" t="s">
        <v>209</v>
      </c>
      <c r="C620" s="183" t="s">
        <v>227</v>
      </c>
      <c r="D620" s="140" t="s">
        <v>30</v>
      </c>
      <c r="E620" s="141">
        <v>915</v>
      </c>
      <c r="F620" s="142" t="s">
        <v>59</v>
      </c>
      <c r="G620" s="141">
        <v>1330083300</v>
      </c>
      <c r="H620" s="141">
        <v>350</v>
      </c>
      <c r="I620" s="33">
        <v>595</v>
      </c>
      <c r="J620" s="33">
        <v>2289</v>
      </c>
      <c r="K620" s="33">
        <v>2508</v>
      </c>
      <c r="L620" s="33">
        <v>2402</v>
      </c>
      <c r="M620" s="33">
        <v>2509</v>
      </c>
      <c r="N620" s="33">
        <v>2521</v>
      </c>
      <c r="O620" s="33">
        <v>0</v>
      </c>
      <c r="P620" s="33">
        <v>0</v>
      </c>
      <c r="Q620" s="33">
        <v>0</v>
      </c>
      <c r="R620" s="33">
        <v>0</v>
      </c>
      <c r="S620" s="33">
        <f t="shared" si="258"/>
        <v>12824</v>
      </c>
    </row>
    <row r="621" spans="1:80" ht="96" customHeight="1" x14ac:dyDescent="0.25">
      <c r="A621" s="192"/>
      <c r="B621" s="189"/>
      <c r="C621" s="185"/>
      <c r="D621" s="140" t="s">
        <v>322</v>
      </c>
      <c r="E621" s="141">
        <v>915</v>
      </c>
      <c r="F621" s="142" t="s">
        <v>59</v>
      </c>
      <c r="G621" s="141">
        <v>1330083300</v>
      </c>
      <c r="H621" s="141">
        <v>350</v>
      </c>
      <c r="I621" s="33">
        <v>0</v>
      </c>
      <c r="J621" s="33">
        <v>0</v>
      </c>
      <c r="K621" s="33">
        <v>0</v>
      </c>
      <c r="L621" s="33">
        <v>0</v>
      </c>
      <c r="M621" s="33">
        <v>0</v>
      </c>
      <c r="N621" s="33">
        <v>0</v>
      </c>
      <c r="O621" s="33">
        <f>2600-92</f>
        <v>2508</v>
      </c>
      <c r="P621" s="33">
        <v>2600</v>
      </c>
      <c r="Q621" s="33">
        <v>2600</v>
      </c>
      <c r="R621" s="33">
        <v>2600</v>
      </c>
      <c r="S621" s="33">
        <f t="shared" si="258"/>
        <v>10308</v>
      </c>
    </row>
    <row r="622" spans="1:80" ht="120.75" customHeight="1" x14ac:dyDescent="0.25">
      <c r="A622" s="191">
        <v>14</v>
      </c>
      <c r="B622" s="187" t="s">
        <v>215</v>
      </c>
      <c r="C622" s="148" t="s">
        <v>226</v>
      </c>
      <c r="D622" s="140"/>
      <c r="E622" s="141" t="s">
        <v>74</v>
      </c>
      <c r="F622" s="142" t="s">
        <v>74</v>
      </c>
      <c r="G622" s="141" t="s">
        <v>74</v>
      </c>
      <c r="H622" s="141" t="s">
        <v>74</v>
      </c>
      <c r="I622" s="33">
        <f t="shared" ref="I622:N622" si="266">I623+I625</f>
        <v>4730</v>
      </c>
      <c r="J622" s="33">
        <f t="shared" si="266"/>
        <v>16299</v>
      </c>
      <c r="K622" s="33">
        <f t="shared" si="266"/>
        <v>9615</v>
      </c>
      <c r="L622" s="33">
        <f t="shared" si="266"/>
        <v>9733</v>
      </c>
      <c r="M622" s="33">
        <f t="shared" si="266"/>
        <v>9164</v>
      </c>
      <c r="N622" s="33">
        <f t="shared" si="266"/>
        <v>10101</v>
      </c>
      <c r="O622" s="33">
        <f>O624+O626</f>
        <v>10244</v>
      </c>
      <c r="P622" s="33">
        <v>10780</v>
      </c>
      <c r="Q622" s="33">
        <v>10780</v>
      </c>
      <c r="R622" s="33">
        <v>10780</v>
      </c>
      <c r="S622" s="33">
        <f t="shared" si="258"/>
        <v>102226</v>
      </c>
    </row>
    <row r="623" spans="1:80" ht="57" customHeight="1" x14ac:dyDescent="0.25">
      <c r="A623" s="196"/>
      <c r="B623" s="188"/>
      <c r="C623" s="183" t="s">
        <v>206</v>
      </c>
      <c r="D623" s="140" t="s">
        <v>30</v>
      </c>
      <c r="E623" s="141">
        <v>915</v>
      </c>
      <c r="F623" s="142" t="s">
        <v>59</v>
      </c>
      <c r="G623" s="141">
        <v>1330083310</v>
      </c>
      <c r="H623" s="141" t="s">
        <v>266</v>
      </c>
      <c r="I623" s="33">
        <v>3805</v>
      </c>
      <c r="J623" s="33">
        <v>13012</v>
      </c>
      <c r="K623" s="33">
        <v>7760</v>
      </c>
      <c r="L623" s="33">
        <v>7923</v>
      </c>
      <c r="M623" s="33">
        <v>7286</v>
      </c>
      <c r="N623" s="33">
        <v>7863</v>
      </c>
      <c r="O623" s="33">
        <v>0</v>
      </c>
      <c r="P623" s="33">
        <v>0</v>
      </c>
      <c r="Q623" s="33">
        <v>0</v>
      </c>
      <c r="R623" s="33">
        <v>0</v>
      </c>
      <c r="S623" s="33">
        <f t="shared" si="258"/>
        <v>47649</v>
      </c>
    </row>
    <row r="624" spans="1:80" ht="88.5" customHeight="1" x14ac:dyDescent="0.25">
      <c r="A624" s="196"/>
      <c r="B624" s="188"/>
      <c r="C624" s="185"/>
      <c r="D624" s="140" t="s">
        <v>322</v>
      </c>
      <c r="E624" s="141">
        <v>915</v>
      </c>
      <c r="F624" s="142" t="s">
        <v>59</v>
      </c>
      <c r="G624" s="141">
        <v>1330083310</v>
      </c>
      <c r="H624" s="141" t="s">
        <v>266</v>
      </c>
      <c r="I624" s="33">
        <v>0</v>
      </c>
      <c r="J624" s="33">
        <v>0</v>
      </c>
      <c r="K624" s="33">
        <v>0</v>
      </c>
      <c r="L624" s="33">
        <v>0</v>
      </c>
      <c r="M624" s="33">
        <v>0</v>
      </c>
      <c r="N624" s="33">
        <v>0</v>
      </c>
      <c r="O624" s="33">
        <f>8599-430</f>
        <v>8169</v>
      </c>
      <c r="P624" s="33">
        <v>8599</v>
      </c>
      <c r="Q624" s="33">
        <v>8599</v>
      </c>
      <c r="R624" s="33">
        <v>8599</v>
      </c>
      <c r="S624" s="33">
        <f t="shared" si="258"/>
        <v>33966</v>
      </c>
    </row>
    <row r="625" spans="1:19" ht="44.25" customHeight="1" x14ac:dyDescent="0.25">
      <c r="A625" s="196"/>
      <c r="B625" s="188"/>
      <c r="C625" s="183" t="s">
        <v>207</v>
      </c>
      <c r="D625" s="140" t="s">
        <v>30</v>
      </c>
      <c r="E625" s="141">
        <v>915</v>
      </c>
      <c r="F625" s="142" t="s">
        <v>59</v>
      </c>
      <c r="G625" s="141">
        <v>1330083370</v>
      </c>
      <c r="H625" s="141" t="s">
        <v>267</v>
      </c>
      <c r="I625" s="33">
        <v>925</v>
      </c>
      <c r="J625" s="33">
        <v>3287</v>
      </c>
      <c r="K625" s="33">
        <v>1855</v>
      </c>
      <c r="L625" s="33">
        <v>1810</v>
      </c>
      <c r="M625" s="33">
        <v>1878</v>
      </c>
      <c r="N625" s="33">
        <v>2238</v>
      </c>
      <c r="O625" s="33">
        <v>0</v>
      </c>
      <c r="P625" s="33">
        <v>0</v>
      </c>
      <c r="Q625" s="33">
        <v>0</v>
      </c>
      <c r="R625" s="33">
        <v>0</v>
      </c>
      <c r="S625" s="33">
        <f t="shared" si="258"/>
        <v>11993</v>
      </c>
    </row>
    <row r="626" spans="1:19" ht="64.5" customHeight="1" x14ac:dyDescent="0.25">
      <c r="A626" s="196"/>
      <c r="B626" s="188"/>
      <c r="C626" s="185"/>
      <c r="D626" s="140" t="s">
        <v>322</v>
      </c>
      <c r="E626" s="141">
        <v>915</v>
      </c>
      <c r="F626" s="142" t="s">
        <v>59</v>
      </c>
      <c r="G626" s="141">
        <v>1330083370</v>
      </c>
      <c r="H626" s="141" t="s">
        <v>267</v>
      </c>
      <c r="I626" s="33">
        <v>0</v>
      </c>
      <c r="J626" s="33">
        <v>0</v>
      </c>
      <c r="K626" s="33">
        <v>0</v>
      </c>
      <c r="L626" s="33">
        <v>0</v>
      </c>
      <c r="M626" s="33">
        <v>0</v>
      </c>
      <c r="N626" s="33">
        <v>0</v>
      </c>
      <c r="O626" s="33">
        <f>2181-106</f>
        <v>2075</v>
      </c>
      <c r="P626" s="33">
        <v>2181</v>
      </c>
      <c r="Q626" s="33">
        <v>2181</v>
      </c>
      <c r="R626" s="33">
        <v>2181</v>
      </c>
      <c r="S626" s="33">
        <f t="shared" si="258"/>
        <v>8618</v>
      </c>
    </row>
    <row r="627" spans="1:19" ht="100.5" customHeight="1" x14ac:dyDescent="0.25">
      <c r="A627" s="172">
        <v>15</v>
      </c>
      <c r="B627" s="173" t="s">
        <v>243</v>
      </c>
      <c r="C627" s="55" t="s">
        <v>248</v>
      </c>
      <c r="D627" s="140" t="s">
        <v>10</v>
      </c>
      <c r="E627" s="141" t="s">
        <v>74</v>
      </c>
      <c r="F627" s="141" t="s">
        <v>74</v>
      </c>
      <c r="G627" s="141">
        <v>1330089200</v>
      </c>
      <c r="H627" s="141" t="s">
        <v>74</v>
      </c>
      <c r="I627" s="33">
        <v>0</v>
      </c>
      <c r="J627" s="33">
        <f>SUM(J628+J640)</f>
        <v>31511.409999999996</v>
      </c>
      <c r="K627" s="33">
        <f t="shared" ref="K627:P627" si="267">SUM(K629+K640)</f>
        <v>16710.379999999997</v>
      </c>
      <c r="L627" s="33">
        <f t="shared" si="267"/>
        <v>44772.31</v>
      </c>
      <c r="M627" s="33">
        <f t="shared" si="267"/>
        <v>0</v>
      </c>
      <c r="N627" s="33">
        <f t="shared" si="267"/>
        <v>0</v>
      </c>
      <c r="O627" s="33">
        <f t="shared" si="267"/>
        <v>0</v>
      </c>
      <c r="P627" s="33">
        <f t="shared" si="267"/>
        <v>0</v>
      </c>
      <c r="Q627" s="33">
        <v>0</v>
      </c>
      <c r="R627" s="33">
        <v>0</v>
      </c>
      <c r="S627" s="33">
        <f t="shared" si="258"/>
        <v>92994.099999999991</v>
      </c>
    </row>
    <row r="628" spans="1:19" ht="22.5" customHeight="1" x14ac:dyDescent="0.25">
      <c r="A628" s="172"/>
      <c r="B628" s="173"/>
      <c r="C628" s="183" t="s">
        <v>37</v>
      </c>
      <c r="D628" s="140" t="s">
        <v>10</v>
      </c>
      <c r="E628" s="141" t="s">
        <v>74</v>
      </c>
      <c r="F628" s="141" t="s">
        <v>74</v>
      </c>
      <c r="G628" s="141">
        <v>1330089200</v>
      </c>
      <c r="H628" s="141" t="s">
        <v>74</v>
      </c>
      <c r="I628" s="33">
        <v>0</v>
      </c>
      <c r="J628" s="33">
        <f t="shared" ref="J628:P628" si="268">J629</f>
        <v>31511.409999999996</v>
      </c>
      <c r="K628" s="33">
        <f t="shared" si="268"/>
        <v>15644.119999999999</v>
      </c>
      <c r="L628" s="33">
        <f>L629</f>
        <v>44772.31</v>
      </c>
      <c r="M628" s="33">
        <f t="shared" si="268"/>
        <v>0</v>
      </c>
      <c r="N628" s="33">
        <f t="shared" si="268"/>
        <v>0</v>
      </c>
      <c r="O628" s="33">
        <f t="shared" si="268"/>
        <v>0</v>
      </c>
      <c r="P628" s="33">
        <f t="shared" si="268"/>
        <v>0</v>
      </c>
      <c r="Q628" s="33">
        <v>0</v>
      </c>
      <c r="R628" s="33">
        <v>0</v>
      </c>
      <c r="S628" s="33">
        <f t="shared" si="258"/>
        <v>91927.84</v>
      </c>
    </row>
    <row r="629" spans="1:19" ht="54.75" customHeight="1" x14ac:dyDescent="0.25">
      <c r="A629" s="172"/>
      <c r="B629" s="173"/>
      <c r="C629" s="184"/>
      <c r="D629" s="140" t="s">
        <v>13</v>
      </c>
      <c r="E629" s="142" t="s">
        <v>53</v>
      </c>
      <c r="F629" s="142" t="s">
        <v>74</v>
      </c>
      <c r="G629" s="141" t="s">
        <v>74</v>
      </c>
      <c r="H629" s="141" t="s">
        <v>74</v>
      </c>
      <c r="I629" s="33">
        <f>SUM(I630:I639)</f>
        <v>0</v>
      </c>
      <c r="J629" s="33">
        <f t="shared" ref="J629:O629" si="269">SUM(J630:J636)</f>
        <v>31511.409999999996</v>
      </c>
      <c r="K629" s="33">
        <f t="shared" si="269"/>
        <v>15644.119999999999</v>
      </c>
      <c r="L629" s="33">
        <f t="shared" si="269"/>
        <v>44772.31</v>
      </c>
      <c r="M629" s="33">
        <f t="shared" si="269"/>
        <v>0</v>
      </c>
      <c r="N629" s="33">
        <f t="shared" si="269"/>
        <v>0</v>
      </c>
      <c r="O629" s="33">
        <f t="shared" si="269"/>
        <v>0</v>
      </c>
      <c r="P629" s="33">
        <f>SUM(P630:P636)</f>
        <v>0</v>
      </c>
      <c r="Q629" s="33">
        <v>0</v>
      </c>
      <c r="R629" s="33">
        <v>0</v>
      </c>
      <c r="S629" s="33">
        <f t="shared" si="258"/>
        <v>91927.84</v>
      </c>
    </row>
    <row r="630" spans="1:19" ht="52.5" customHeight="1" x14ac:dyDescent="0.25">
      <c r="A630" s="172"/>
      <c r="B630" s="173"/>
      <c r="C630" s="184"/>
      <c r="D630" s="140" t="s">
        <v>23</v>
      </c>
      <c r="E630" s="141">
        <v>919</v>
      </c>
      <c r="F630" s="142" t="s">
        <v>60</v>
      </c>
      <c r="G630" s="141">
        <v>1330089200</v>
      </c>
      <c r="H630" s="141">
        <v>240</v>
      </c>
      <c r="I630" s="33">
        <v>0</v>
      </c>
      <c r="J630" s="33">
        <v>4672.74</v>
      </c>
      <c r="K630" s="33">
        <v>3897.67</v>
      </c>
      <c r="L630" s="33">
        <v>4915.08</v>
      </c>
      <c r="M630" s="33">
        <v>0</v>
      </c>
      <c r="N630" s="33">
        <v>0</v>
      </c>
      <c r="O630" s="33">
        <v>0</v>
      </c>
      <c r="P630" s="33">
        <v>0</v>
      </c>
      <c r="Q630" s="33">
        <v>0</v>
      </c>
      <c r="R630" s="33">
        <v>0</v>
      </c>
      <c r="S630" s="33">
        <f t="shared" si="258"/>
        <v>13485.49</v>
      </c>
    </row>
    <row r="631" spans="1:19" ht="46.5" customHeight="1" x14ac:dyDescent="0.25">
      <c r="A631" s="172"/>
      <c r="B631" s="173"/>
      <c r="C631" s="184"/>
      <c r="D631" s="140" t="s">
        <v>24</v>
      </c>
      <c r="E631" s="141">
        <v>922</v>
      </c>
      <c r="F631" s="142" t="s">
        <v>60</v>
      </c>
      <c r="G631" s="141">
        <v>1330089200</v>
      </c>
      <c r="H631" s="141">
        <v>240</v>
      </c>
      <c r="I631" s="33">
        <v>0</v>
      </c>
      <c r="J631" s="33">
        <v>4658.6499999999996</v>
      </c>
      <c r="K631" s="33">
        <v>0</v>
      </c>
      <c r="L631" s="33">
        <v>6656.45</v>
      </c>
      <c r="M631" s="33">
        <v>0</v>
      </c>
      <c r="N631" s="33">
        <v>0</v>
      </c>
      <c r="O631" s="33">
        <v>0</v>
      </c>
      <c r="P631" s="33">
        <v>0</v>
      </c>
      <c r="Q631" s="33">
        <v>0</v>
      </c>
      <c r="R631" s="33">
        <v>0</v>
      </c>
      <c r="S631" s="33">
        <f t="shared" si="258"/>
        <v>11315.099999999999</v>
      </c>
    </row>
    <row r="632" spans="1:19" ht="48.75" customHeight="1" x14ac:dyDescent="0.25">
      <c r="A632" s="172"/>
      <c r="B632" s="173"/>
      <c r="C632" s="184"/>
      <c r="D632" s="140" t="s">
        <v>25</v>
      </c>
      <c r="E632" s="141">
        <v>925</v>
      </c>
      <c r="F632" s="142" t="s">
        <v>60</v>
      </c>
      <c r="G632" s="141">
        <v>1330089200</v>
      </c>
      <c r="H632" s="141">
        <v>240</v>
      </c>
      <c r="I632" s="33">
        <v>0</v>
      </c>
      <c r="J632" s="33">
        <v>7534.99</v>
      </c>
      <c r="K632" s="33">
        <v>0</v>
      </c>
      <c r="L632" s="33">
        <v>10789.06</v>
      </c>
      <c r="M632" s="33">
        <v>0</v>
      </c>
      <c r="N632" s="33">
        <v>0</v>
      </c>
      <c r="O632" s="33">
        <v>0</v>
      </c>
      <c r="P632" s="33">
        <v>0</v>
      </c>
      <c r="Q632" s="33">
        <v>0</v>
      </c>
      <c r="R632" s="33">
        <v>0</v>
      </c>
      <c r="S632" s="33">
        <f t="shared" si="258"/>
        <v>18324.05</v>
      </c>
    </row>
    <row r="633" spans="1:19" ht="54" customHeight="1" x14ac:dyDescent="0.25">
      <c r="A633" s="172"/>
      <c r="B633" s="173"/>
      <c r="C633" s="184"/>
      <c r="D633" s="140" t="s">
        <v>26</v>
      </c>
      <c r="E633" s="141">
        <v>928</v>
      </c>
      <c r="F633" s="142" t="s">
        <v>60</v>
      </c>
      <c r="G633" s="141">
        <v>1330089200</v>
      </c>
      <c r="H633" s="141">
        <v>240</v>
      </c>
      <c r="I633" s="33">
        <v>0</v>
      </c>
      <c r="J633" s="33">
        <v>3456.64</v>
      </c>
      <c r="K633" s="33">
        <f>4850-4850</f>
        <v>0</v>
      </c>
      <c r="L633" s="33">
        <v>4708.78</v>
      </c>
      <c r="M633" s="33">
        <v>0</v>
      </c>
      <c r="N633" s="33">
        <v>0</v>
      </c>
      <c r="O633" s="33">
        <v>0</v>
      </c>
      <c r="P633" s="33">
        <v>0</v>
      </c>
      <c r="Q633" s="33">
        <v>0</v>
      </c>
      <c r="R633" s="33">
        <v>0</v>
      </c>
      <c r="S633" s="33">
        <f t="shared" si="258"/>
        <v>8165.42</v>
      </c>
    </row>
    <row r="634" spans="1:19" ht="53.25" customHeight="1" x14ac:dyDescent="0.25">
      <c r="A634" s="172"/>
      <c r="B634" s="173"/>
      <c r="C634" s="184"/>
      <c r="D634" s="140" t="s">
        <v>27</v>
      </c>
      <c r="E634" s="141">
        <v>931</v>
      </c>
      <c r="F634" s="142" t="s">
        <v>60</v>
      </c>
      <c r="G634" s="141">
        <v>1330089200</v>
      </c>
      <c r="H634" s="141">
        <v>240</v>
      </c>
      <c r="I634" s="33">
        <v>0</v>
      </c>
      <c r="J634" s="33">
        <v>2057.6</v>
      </c>
      <c r="K634" s="33">
        <v>0</v>
      </c>
      <c r="L634" s="33">
        <v>2886.72</v>
      </c>
      <c r="M634" s="33">
        <v>0</v>
      </c>
      <c r="N634" s="33">
        <v>0</v>
      </c>
      <c r="O634" s="33">
        <v>0</v>
      </c>
      <c r="P634" s="33">
        <v>0</v>
      </c>
      <c r="Q634" s="33">
        <v>0</v>
      </c>
      <c r="R634" s="33">
        <v>0</v>
      </c>
      <c r="S634" s="33">
        <f t="shared" si="258"/>
        <v>4944.32</v>
      </c>
    </row>
    <row r="635" spans="1:19" ht="45" customHeight="1" x14ac:dyDescent="0.25">
      <c r="A635" s="172"/>
      <c r="B635" s="173"/>
      <c r="C635" s="184"/>
      <c r="D635" s="140" t="s">
        <v>28</v>
      </c>
      <c r="E635" s="141">
        <v>934</v>
      </c>
      <c r="F635" s="142" t="s">
        <v>60</v>
      </c>
      <c r="G635" s="141">
        <v>1330089200</v>
      </c>
      <c r="H635" s="141">
        <v>240</v>
      </c>
      <c r="I635" s="33">
        <v>0</v>
      </c>
      <c r="J635" s="33">
        <v>3336.41</v>
      </c>
      <c r="K635" s="33">
        <v>5711.63</v>
      </c>
      <c r="L635" s="33">
        <v>11705.31</v>
      </c>
      <c r="M635" s="33">
        <v>0</v>
      </c>
      <c r="N635" s="33">
        <v>0</v>
      </c>
      <c r="O635" s="33">
        <v>0</v>
      </c>
      <c r="P635" s="33">
        <v>0</v>
      </c>
      <c r="Q635" s="33">
        <v>0</v>
      </c>
      <c r="R635" s="33">
        <v>0</v>
      </c>
      <c r="S635" s="33">
        <f t="shared" si="258"/>
        <v>20753.349999999999</v>
      </c>
    </row>
    <row r="636" spans="1:19" ht="21" customHeight="1" x14ac:dyDescent="0.25">
      <c r="A636" s="172"/>
      <c r="B636" s="173"/>
      <c r="C636" s="184"/>
      <c r="D636" s="168" t="s">
        <v>29</v>
      </c>
      <c r="E636" s="166">
        <v>937</v>
      </c>
      <c r="F636" s="142"/>
      <c r="G636" s="141">
        <v>1330089200</v>
      </c>
      <c r="H636" s="141"/>
      <c r="I636" s="33">
        <v>0</v>
      </c>
      <c r="J636" s="33">
        <f t="shared" ref="J636:O636" si="270">J637+J639</f>
        <v>5794.38</v>
      </c>
      <c r="K636" s="33">
        <f t="shared" si="270"/>
        <v>6034.82</v>
      </c>
      <c r="L636" s="33">
        <f t="shared" si="270"/>
        <v>3110.91</v>
      </c>
      <c r="M636" s="33">
        <f t="shared" si="270"/>
        <v>0</v>
      </c>
      <c r="N636" s="33">
        <f t="shared" si="270"/>
        <v>0</v>
      </c>
      <c r="O636" s="33">
        <f t="shared" si="270"/>
        <v>0</v>
      </c>
      <c r="P636" s="33">
        <f>P637+P639</f>
        <v>0</v>
      </c>
      <c r="Q636" s="33">
        <v>0</v>
      </c>
      <c r="R636" s="33">
        <v>0</v>
      </c>
      <c r="S636" s="33">
        <f t="shared" si="258"/>
        <v>14940.11</v>
      </c>
    </row>
    <row r="637" spans="1:19" ht="24.75" customHeight="1" x14ac:dyDescent="0.25">
      <c r="A637" s="172"/>
      <c r="B637" s="173"/>
      <c r="C637" s="184"/>
      <c r="D637" s="168"/>
      <c r="E637" s="166"/>
      <c r="F637" s="142" t="s">
        <v>60</v>
      </c>
      <c r="G637" s="141">
        <v>1330089200</v>
      </c>
      <c r="H637" s="141">
        <v>240</v>
      </c>
      <c r="I637" s="33">
        <v>0</v>
      </c>
      <c r="J637" s="33">
        <v>3504.38</v>
      </c>
      <c r="K637" s="33">
        <v>6034.82</v>
      </c>
      <c r="L637" s="33">
        <v>3110.91</v>
      </c>
      <c r="M637" s="33">
        <v>0</v>
      </c>
      <c r="N637" s="33">
        <v>0</v>
      </c>
      <c r="O637" s="33">
        <v>0</v>
      </c>
      <c r="P637" s="33">
        <v>0</v>
      </c>
      <c r="Q637" s="33">
        <v>0</v>
      </c>
      <c r="R637" s="33">
        <v>0</v>
      </c>
      <c r="S637" s="33">
        <f t="shared" si="258"/>
        <v>12650.11</v>
      </c>
    </row>
    <row r="638" spans="1:19" ht="45" hidden="1" customHeight="1" x14ac:dyDescent="0.25">
      <c r="A638" s="172"/>
      <c r="B638" s="173"/>
      <c r="C638" s="184"/>
      <c r="D638" s="168"/>
      <c r="E638" s="166"/>
      <c r="F638" s="142" t="s">
        <v>60</v>
      </c>
      <c r="G638" s="141">
        <v>1330089200</v>
      </c>
      <c r="H638" s="141">
        <v>240</v>
      </c>
      <c r="I638" s="33">
        <v>0</v>
      </c>
      <c r="J638" s="33">
        <v>0</v>
      </c>
      <c r="K638" s="33">
        <v>0</v>
      </c>
      <c r="L638" s="33"/>
      <c r="M638" s="33"/>
      <c r="N638" s="33"/>
      <c r="O638" s="33"/>
      <c r="P638" s="33"/>
      <c r="Q638" s="33"/>
      <c r="R638" s="33"/>
      <c r="S638" s="33">
        <f t="shared" si="258"/>
        <v>0</v>
      </c>
    </row>
    <row r="639" spans="1:19" ht="27" customHeight="1" x14ac:dyDescent="0.25">
      <c r="A639" s="172"/>
      <c r="B639" s="173"/>
      <c r="C639" s="185"/>
      <c r="D639" s="168"/>
      <c r="E639" s="166"/>
      <c r="F639" s="142" t="s">
        <v>161</v>
      </c>
      <c r="G639" s="141">
        <v>1330089200</v>
      </c>
      <c r="H639" s="141">
        <v>240</v>
      </c>
      <c r="I639" s="33">
        <v>0</v>
      </c>
      <c r="J639" s="33">
        <v>2290</v>
      </c>
      <c r="K639" s="33">
        <v>0</v>
      </c>
      <c r="L639" s="33">
        <v>0</v>
      </c>
      <c r="M639" s="33">
        <v>0</v>
      </c>
      <c r="N639" s="33">
        <v>0</v>
      </c>
      <c r="O639" s="33">
        <v>0</v>
      </c>
      <c r="P639" s="33">
        <v>0</v>
      </c>
      <c r="Q639" s="33">
        <v>0</v>
      </c>
      <c r="R639" s="33">
        <v>0</v>
      </c>
      <c r="S639" s="33">
        <f t="shared" si="258"/>
        <v>2290</v>
      </c>
    </row>
    <row r="640" spans="1:19" ht="75" customHeight="1" x14ac:dyDescent="0.25">
      <c r="A640" s="172"/>
      <c r="B640" s="173"/>
      <c r="C640" s="173" t="s">
        <v>247</v>
      </c>
      <c r="D640" s="140" t="s">
        <v>13</v>
      </c>
      <c r="E640" s="142" t="s">
        <v>53</v>
      </c>
      <c r="F640" s="142" t="s">
        <v>74</v>
      </c>
      <c r="G640" s="141" t="s">
        <v>74</v>
      </c>
      <c r="H640" s="141" t="s">
        <v>74</v>
      </c>
      <c r="I640" s="33">
        <f>SUM(I641:I649)</f>
        <v>0</v>
      </c>
      <c r="J640" s="33">
        <f>SUM(J641:J647)</f>
        <v>0</v>
      </c>
      <c r="K640" s="33">
        <f>SUM(K641:K647)</f>
        <v>1066.2600000000002</v>
      </c>
      <c r="L640" s="33">
        <f>SUM(L641:L647)</f>
        <v>0</v>
      </c>
      <c r="M640" s="33">
        <f>SUM(M641:M649)</f>
        <v>0</v>
      </c>
      <c r="N640" s="33">
        <f>SUM(N641:N649)</f>
        <v>0</v>
      </c>
      <c r="O640" s="33">
        <f>SUM(O641:O649)</f>
        <v>0</v>
      </c>
      <c r="P640" s="33">
        <f>SUM(P641:P649)</f>
        <v>0</v>
      </c>
      <c r="Q640" s="33">
        <v>0</v>
      </c>
      <c r="R640" s="33">
        <v>0</v>
      </c>
      <c r="S640" s="33">
        <f t="shared" si="258"/>
        <v>1066.2600000000002</v>
      </c>
    </row>
    <row r="641" spans="1:19" ht="68.25" customHeight="1" x14ac:dyDescent="0.25">
      <c r="A641" s="172"/>
      <c r="B641" s="173"/>
      <c r="C641" s="173"/>
      <c r="D641" s="140" t="s">
        <v>23</v>
      </c>
      <c r="E641" s="141">
        <v>919</v>
      </c>
      <c r="F641" s="142" t="s">
        <v>60</v>
      </c>
      <c r="G641" s="141">
        <v>1330089200</v>
      </c>
      <c r="H641" s="141">
        <v>240</v>
      </c>
      <c r="I641" s="33">
        <v>0</v>
      </c>
      <c r="J641" s="33">
        <v>0</v>
      </c>
      <c r="K641" s="33">
        <v>137.81</v>
      </c>
      <c r="L641" s="33">
        <v>0</v>
      </c>
      <c r="M641" s="33">
        <v>0</v>
      </c>
      <c r="N641" s="33">
        <v>0</v>
      </c>
      <c r="O641" s="33">
        <v>0</v>
      </c>
      <c r="P641" s="33">
        <v>0</v>
      </c>
      <c r="Q641" s="33">
        <v>0</v>
      </c>
      <c r="R641" s="33">
        <v>0</v>
      </c>
      <c r="S641" s="33">
        <f t="shared" si="258"/>
        <v>137.81</v>
      </c>
    </row>
    <row r="642" spans="1:19" ht="46.5" customHeight="1" x14ac:dyDescent="0.25">
      <c r="A642" s="172"/>
      <c r="B642" s="173"/>
      <c r="C642" s="173"/>
      <c r="D642" s="140" t="s">
        <v>24</v>
      </c>
      <c r="E642" s="141">
        <v>922</v>
      </c>
      <c r="F642" s="142" t="s">
        <v>60</v>
      </c>
      <c r="G642" s="141">
        <v>1330089200</v>
      </c>
      <c r="H642" s="141">
        <v>240</v>
      </c>
      <c r="I642" s="33">
        <v>0</v>
      </c>
      <c r="J642" s="33">
        <v>0</v>
      </c>
      <c r="K642" s="33">
        <v>0</v>
      </c>
      <c r="L642" s="33">
        <v>0</v>
      </c>
      <c r="M642" s="33">
        <v>0</v>
      </c>
      <c r="N642" s="33">
        <v>0</v>
      </c>
      <c r="O642" s="33">
        <v>0</v>
      </c>
      <c r="P642" s="33">
        <v>0</v>
      </c>
      <c r="Q642" s="33">
        <v>0</v>
      </c>
      <c r="R642" s="33">
        <v>0</v>
      </c>
      <c r="S642" s="33">
        <f t="shared" si="258"/>
        <v>0</v>
      </c>
    </row>
    <row r="643" spans="1:19" ht="50.25" customHeight="1" x14ac:dyDescent="0.25">
      <c r="A643" s="172"/>
      <c r="B643" s="173"/>
      <c r="C643" s="173"/>
      <c r="D643" s="140" t="s">
        <v>25</v>
      </c>
      <c r="E643" s="141">
        <v>925</v>
      </c>
      <c r="F643" s="142" t="s">
        <v>60</v>
      </c>
      <c r="G643" s="141">
        <v>1330089200</v>
      </c>
      <c r="H643" s="141">
        <v>240</v>
      </c>
      <c r="I643" s="33">
        <v>0</v>
      </c>
      <c r="J643" s="33">
        <v>0</v>
      </c>
      <c r="K643" s="33">
        <v>0</v>
      </c>
      <c r="L643" s="33">
        <v>0</v>
      </c>
      <c r="M643" s="33">
        <v>0</v>
      </c>
      <c r="N643" s="33">
        <v>0</v>
      </c>
      <c r="O643" s="33">
        <v>0</v>
      </c>
      <c r="P643" s="33">
        <v>0</v>
      </c>
      <c r="Q643" s="33">
        <v>0</v>
      </c>
      <c r="R643" s="33">
        <v>0</v>
      </c>
      <c r="S643" s="33">
        <f t="shared" si="258"/>
        <v>0</v>
      </c>
    </row>
    <row r="644" spans="1:19" ht="65.25" customHeight="1" x14ac:dyDescent="0.25">
      <c r="A644" s="172"/>
      <c r="B644" s="173"/>
      <c r="C644" s="173"/>
      <c r="D644" s="140" t="s">
        <v>26</v>
      </c>
      <c r="E644" s="141">
        <v>928</v>
      </c>
      <c r="F644" s="142" t="s">
        <v>60</v>
      </c>
      <c r="G644" s="141">
        <v>1330089200</v>
      </c>
      <c r="H644" s="141">
        <v>240</v>
      </c>
      <c r="I644" s="33">
        <v>0</v>
      </c>
      <c r="J644" s="33">
        <v>0</v>
      </c>
      <c r="K644" s="33">
        <f>150-150</f>
        <v>0</v>
      </c>
      <c r="L644" s="33">
        <v>0</v>
      </c>
      <c r="M644" s="33">
        <v>0</v>
      </c>
      <c r="N644" s="33">
        <v>0</v>
      </c>
      <c r="O644" s="33">
        <v>0</v>
      </c>
      <c r="P644" s="33">
        <v>0</v>
      </c>
      <c r="Q644" s="33">
        <v>0</v>
      </c>
      <c r="R644" s="33">
        <v>0</v>
      </c>
      <c r="S644" s="33">
        <f t="shared" si="258"/>
        <v>0</v>
      </c>
    </row>
    <row r="645" spans="1:19" ht="64.5" customHeight="1" x14ac:dyDescent="0.25">
      <c r="A645" s="172"/>
      <c r="B645" s="173"/>
      <c r="C645" s="173"/>
      <c r="D645" s="140" t="s">
        <v>27</v>
      </c>
      <c r="E645" s="141">
        <v>931</v>
      </c>
      <c r="F645" s="142" t="s">
        <v>60</v>
      </c>
      <c r="G645" s="141">
        <v>1330089200</v>
      </c>
      <c r="H645" s="141">
        <v>240</v>
      </c>
      <c r="I645" s="33">
        <v>0</v>
      </c>
      <c r="J645" s="33">
        <v>0</v>
      </c>
      <c r="K645" s="33">
        <v>0</v>
      </c>
      <c r="L645" s="33">
        <v>0</v>
      </c>
      <c r="M645" s="33">
        <v>0</v>
      </c>
      <c r="N645" s="33">
        <v>0</v>
      </c>
      <c r="O645" s="33">
        <v>0</v>
      </c>
      <c r="P645" s="33">
        <v>0</v>
      </c>
      <c r="Q645" s="33">
        <v>0</v>
      </c>
      <c r="R645" s="33">
        <v>0</v>
      </c>
      <c r="S645" s="33">
        <f t="shared" si="258"/>
        <v>0</v>
      </c>
    </row>
    <row r="646" spans="1:19" ht="45" customHeight="1" x14ac:dyDescent="0.25">
      <c r="A646" s="172"/>
      <c r="B646" s="173"/>
      <c r="C646" s="173"/>
      <c r="D646" s="140" t="s">
        <v>28</v>
      </c>
      <c r="E646" s="141">
        <v>934</v>
      </c>
      <c r="F646" s="142" t="s">
        <v>60</v>
      </c>
      <c r="G646" s="141">
        <v>1330089200</v>
      </c>
      <c r="H646" s="141">
        <v>240</v>
      </c>
      <c r="I646" s="33">
        <v>0</v>
      </c>
      <c r="J646" s="33">
        <v>0</v>
      </c>
      <c r="K646" s="33">
        <v>689.33</v>
      </c>
      <c r="L646" s="33">
        <v>0</v>
      </c>
      <c r="M646" s="33">
        <v>0</v>
      </c>
      <c r="N646" s="33">
        <v>0</v>
      </c>
      <c r="O646" s="33">
        <v>0</v>
      </c>
      <c r="P646" s="33">
        <v>0</v>
      </c>
      <c r="Q646" s="33">
        <v>0</v>
      </c>
      <c r="R646" s="33">
        <v>0</v>
      </c>
      <c r="S646" s="33">
        <f t="shared" si="258"/>
        <v>689.33</v>
      </c>
    </row>
    <row r="647" spans="1:19" x14ac:dyDescent="0.25">
      <c r="A647" s="172"/>
      <c r="B647" s="173"/>
      <c r="C647" s="173"/>
      <c r="D647" s="168" t="s">
        <v>29</v>
      </c>
      <c r="E647" s="166">
        <v>937</v>
      </c>
      <c r="F647" s="142"/>
      <c r="G647" s="141">
        <v>1330089200</v>
      </c>
      <c r="H647" s="141"/>
      <c r="I647" s="33">
        <v>0</v>
      </c>
      <c r="J647" s="33">
        <f>J648+J649</f>
        <v>0</v>
      </c>
      <c r="K647" s="33">
        <f>K648+K649</f>
        <v>239.12</v>
      </c>
      <c r="L647" s="33">
        <v>0</v>
      </c>
      <c r="M647" s="33">
        <v>0</v>
      </c>
      <c r="N647" s="33">
        <v>0</v>
      </c>
      <c r="O647" s="33">
        <v>0</v>
      </c>
      <c r="P647" s="33">
        <v>0</v>
      </c>
      <c r="Q647" s="33">
        <v>0</v>
      </c>
      <c r="R647" s="33">
        <v>0</v>
      </c>
      <c r="S647" s="33">
        <f t="shared" si="258"/>
        <v>239.12</v>
      </c>
    </row>
    <row r="648" spans="1:19" x14ac:dyDescent="0.25">
      <c r="A648" s="172"/>
      <c r="B648" s="173"/>
      <c r="C648" s="173"/>
      <c r="D648" s="168"/>
      <c r="E648" s="166"/>
      <c r="F648" s="142" t="s">
        <v>60</v>
      </c>
      <c r="G648" s="141">
        <v>1330089200</v>
      </c>
      <c r="H648" s="141">
        <v>240</v>
      </c>
      <c r="I648" s="33">
        <v>0</v>
      </c>
      <c r="J648" s="33">
        <v>0</v>
      </c>
      <c r="K648" s="33">
        <v>239.12</v>
      </c>
      <c r="L648" s="33">
        <v>0</v>
      </c>
      <c r="M648" s="33">
        <v>0</v>
      </c>
      <c r="N648" s="33">
        <v>0</v>
      </c>
      <c r="O648" s="33">
        <v>0</v>
      </c>
      <c r="P648" s="33">
        <v>0</v>
      </c>
      <c r="Q648" s="33">
        <v>0</v>
      </c>
      <c r="R648" s="33">
        <v>0</v>
      </c>
      <c r="S648" s="33">
        <f t="shared" si="258"/>
        <v>239.12</v>
      </c>
    </row>
    <row r="649" spans="1:19" x14ac:dyDescent="0.25">
      <c r="A649" s="172"/>
      <c r="B649" s="173"/>
      <c r="C649" s="173"/>
      <c r="D649" s="168"/>
      <c r="E649" s="166"/>
      <c r="F649" s="142" t="s">
        <v>161</v>
      </c>
      <c r="G649" s="141">
        <v>1330089200</v>
      </c>
      <c r="H649" s="141">
        <v>240</v>
      </c>
      <c r="I649" s="33">
        <v>0</v>
      </c>
      <c r="J649" s="33">
        <v>0</v>
      </c>
      <c r="K649" s="33">
        <v>0</v>
      </c>
      <c r="L649" s="33">
        <v>0</v>
      </c>
      <c r="M649" s="33">
        <v>0</v>
      </c>
      <c r="N649" s="33">
        <v>0</v>
      </c>
      <c r="O649" s="33">
        <v>0</v>
      </c>
      <c r="P649" s="33">
        <v>0</v>
      </c>
      <c r="Q649" s="33">
        <v>0</v>
      </c>
      <c r="R649" s="33">
        <v>0</v>
      </c>
      <c r="S649" s="33">
        <f t="shared" si="258"/>
        <v>0</v>
      </c>
    </row>
    <row r="650" spans="1:19" ht="87.75" customHeight="1" x14ac:dyDescent="0.25">
      <c r="A650" s="191">
        <v>16</v>
      </c>
      <c r="B650" s="187" t="s">
        <v>253</v>
      </c>
      <c r="C650" s="183" t="s">
        <v>254</v>
      </c>
      <c r="D650" s="140" t="s">
        <v>30</v>
      </c>
      <c r="E650" s="141">
        <v>915</v>
      </c>
      <c r="F650" s="142" t="s">
        <v>60</v>
      </c>
      <c r="G650" s="141">
        <v>1330083340</v>
      </c>
      <c r="H650" s="141">
        <v>240</v>
      </c>
      <c r="I650" s="33">
        <v>0</v>
      </c>
      <c r="J650" s="33">
        <v>0</v>
      </c>
      <c r="K650" s="33">
        <v>6287.65</v>
      </c>
      <c r="L650" s="33">
        <v>6620</v>
      </c>
      <c r="M650" s="33">
        <v>6478.05</v>
      </c>
      <c r="N650" s="33">
        <v>4022.5</v>
      </c>
      <c r="O650" s="33">
        <v>0</v>
      </c>
      <c r="P650" s="33">
        <v>0</v>
      </c>
      <c r="Q650" s="33">
        <v>0</v>
      </c>
      <c r="R650" s="33">
        <v>0</v>
      </c>
      <c r="S650" s="33">
        <f t="shared" ref="S650:S722" si="271">SUM(I650:R650)</f>
        <v>23408.2</v>
      </c>
    </row>
    <row r="651" spans="1:19" ht="111.75" customHeight="1" x14ac:dyDescent="0.25">
      <c r="A651" s="192"/>
      <c r="B651" s="189"/>
      <c r="C651" s="185"/>
      <c r="D651" s="140" t="s">
        <v>322</v>
      </c>
      <c r="E651" s="141">
        <v>915</v>
      </c>
      <c r="F651" s="142" t="s">
        <v>60</v>
      </c>
      <c r="G651" s="141">
        <v>1330083340</v>
      </c>
      <c r="H651" s="141">
        <v>240</v>
      </c>
      <c r="I651" s="33">
        <v>0</v>
      </c>
      <c r="J651" s="33">
        <v>0</v>
      </c>
      <c r="K651" s="33">
        <v>0</v>
      </c>
      <c r="L651" s="33">
        <v>0</v>
      </c>
      <c r="M651" s="33">
        <v>0</v>
      </c>
      <c r="N651" s="33">
        <v>0</v>
      </c>
      <c r="O651" s="33">
        <v>6620</v>
      </c>
      <c r="P651" s="33">
        <v>6620</v>
      </c>
      <c r="Q651" s="33">
        <v>6620</v>
      </c>
      <c r="R651" s="33">
        <v>6620</v>
      </c>
      <c r="S651" s="33">
        <f t="shared" si="271"/>
        <v>26480</v>
      </c>
    </row>
    <row r="652" spans="1:19" ht="41.25" customHeight="1" x14ac:dyDescent="0.25">
      <c r="A652" s="191">
        <v>17</v>
      </c>
      <c r="B652" s="187" t="s">
        <v>259</v>
      </c>
      <c r="C652" s="183" t="s">
        <v>260</v>
      </c>
      <c r="D652" s="140" t="s">
        <v>10</v>
      </c>
      <c r="E652" s="141" t="s">
        <v>74</v>
      </c>
      <c r="F652" s="141" t="s">
        <v>74</v>
      </c>
      <c r="G652" s="141">
        <v>1330081500</v>
      </c>
      <c r="H652" s="141" t="s">
        <v>74</v>
      </c>
      <c r="I652" s="33">
        <v>0</v>
      </c>
      <c r="J652" s="33">
        <f>SUM(J653:J660)</f>
        <v>0</v>
      </c>
      <c r="K652" s="33">
        <f t="shared" ref="K652:R652" si="272">K653</f>
        <v>4900</v>
      </c>
      <c r="L652" s="33">
        <f t="shared" si="272"/>
        <v>9600</v>
      </c>
      <c r="M652" s="33">
        <f t="shared" si="272"/>
        <v>9800</v>
      </c>
      <c r="N652" s="33">
        <f t="shared" si="272"/>
        <v>9900</v>
      </c>
      <c r="O652" s="33">
        <f t="shared" si="272"/>
        <v>5000</v>
      </c>
      <c r="P652" s="33">
        <f t="shared" si="272"/>
        <v>5000</v>
      </c>
      <c r="Q652" s="33">
        <f t="shared" si="272"/>
        <v>5000</v>
      </c>
      <c r="R652" s="33">
        <f t="shared" si="272"/>
        <v>5000</v>
      </c>
      <c r="S652" s="33">
        <f>SUM(I652:R652)</f>
        <v>54200</v>
      </c>
    </row>
    <row r="653" spans="1:19" ht="73.5" customHeight="1" x14ac:dyDescent="0.25">
      <c r="A653" s="196"/>
      <c r="B653" s="188"/>
      <c r="C653" s="184"/>
      <c r="D653" s="140" t="s">
        <v>13</v>
      </c>
      <c r="E653" s="142" t="s">
        <v>53</v>
      </c>
      <c r="F653" s="142" t="s">
        <v>74</v>
      </c>
      <c r="G653" s="141">
        <v>1330081500</v>
      </c>
      <c r="H653" s="141" t="s">
        <v>74</v>
      </c>
      <c r="I653" s="33">
        <f>SUM(I654:I660)</f>
        <v>0</v>
      </c>
      <c r="J653" s="33">
        <f>SUM(J654:J660)</f>
        <v>0</v>
      </c>
      <c r="K653" s="33">
        <f t="shared" ref="K653:Q653" si="273">SUM(K654:K655)+K656+K657+K658+K659+K660</f>
        <v>4900</v>
      </c>
      <c r="L653" s="33">
        <f t="shared" si="273"/>
        <v>9600</v>
      </c>
      <c r="M653" s="33">
        <f t="shared" si="273"/>
        <v>9800</v>
      </c>
      <c r="N653" s="33">
        <f t="shared" si="273"/>
        <v>9900</v>
      </c>
      <c r="O653" s="33">
        <f t="shared" si="273"/>
        <v>5000</v>
      </c>
      <c r="P653" s="33">
        <f t="shared" si="273"/>
        <v>5000</v>
      </c>
      <c r="Q653" s="33">
        <f t="shared" si="273"/>
        <v>5000</v>
      </c>
      <c r="R653" s="33">
        <f>SUM(R654:R655)+R656+R657+R658+R659+R660</f>
        <v>5000</v>
      </c>
      <c r="S653" s="33">
        <f t="shared" si="271"/>
        <v>54200</v>
      </c>
    </row>
    <row r="654" spans="1:19" ht="56.25" x14ac:dyDescent="0.25">
      <c r="A654" s="196"/>
      <c r="B654" s="188"/>
      <c r="C654" s="184"/>
      <c r="D654" s="140" t="s">
        <v>23</v>
      </c>
      <c r="E654" s="141">
        <v>919</v>
      </c>
      <c r="F654" s="142" t="s">
        <v>60</v>
      </c>
      <c r="G654" s="141">
        <v>1330081500</v>
      </c>
      <c r="H654" s="141" t="s">
        <v>262</v>
      </c>
      <c r="I654" s="33">
        <v>0</v>
      </c>
      <c r="J654" s="33">
        <v>0</v>
      </c>
      <c r="K654" s="33">
        <v>400</v>
      </c>
      <c r="L654" s="33">
        <f>400*2</f>
        <v>800</v>
      </c>
      <c r="M654" s="33">
        <f>400*2</f>
        <v>800</v>
      </c>
      <c r="N654" s="33">
        <v>700</v>
      </c>
      <c r="O654" s="33">
        <v>400</v>
      </c>
      <c r="P654" s="33">
        <v>400</v>
      </c>
      <c r="Q654" s="33">
        <v>400</v>
      </c>
      <c r="R654" s="33">
        <v>400</v>
      </c>
      <c r="S654" s="33">
        <f t="shared" si="271"/>
        <v>4300</v>
      </c>
    </row>
    <row r="655" spans="1:19" ht="44.25" customHeight="1" x14ac:dyDescent="0.25">
      <c r="A655" s="196"/>
      <c r="B655" s="188"/>
      <c r="C655" s="184"/>
      <c r="D655" s="140" t="s">
        <v>24</v>
      </c>
      <c r="E655" s="141">
        <v>922</v>
      </c>
      <c r="F655" s="142" t="s">
        <v>60</v>
      </c>
      <c r="G655" s="141">
        <v>1330081500</v>
      </c>
      <c r="H655" s="141" t="s">
        <v>262</v>
      </c>
      <c r="I655" s="33">
        <v>0</v>
      </c>
      <c r="J655" s="33">
        <v>0</v>
      </c>
      <c r="K655" s="33">
        <v>500</v>
      </c>
      <c r="L655" s="33">
        <f>500*2</f>
        <v>1000</v>
      </c>
      <c r="M655" s="33">
        <v>800</v>
      </c>
      <c r="N655" s="33">
        <f>500+500</f>
        <v>1000</v>
      </c>
      <c r="O655" s="33">
        <v>500</v>
      </c>
      <c r="P655" s="33">
        <v>500</v>
      </c>
      <c r="Q655" s="33">
        <v>500</v>
      </c>
      <c r="R655" s="33">
        <v>500</v>
      </c>
      <c r="S655" s="33">
        <f t="shared" si="271"/>
        <v>5300</v>
      </c>
    </row>
    <row r="656" spans="1:19" ht="41.25" customHeight="1" x14ac:dyDescent="0.25">
      <c r="A656" s="196"/>
      <c r="B656" s="188"/>
      <c r="C656" s="184"/>
      <c r="D656" s="140" t="s">
        <v>25</v>
      </c>
      <c r="E656" s="141">
        <v>925</v>
      </c>
      <c r="F656" s="142" t="s">
        <v>60</v>
      </c>
      <c r="G656" s="141">
        <v>1330081500</v>
      </c>
      <c r="H656" s="141">
        <v>810</v>
      </c>
      <c r="I656" s="33">
        <v>0</v>
      </c>
      <c r="J656" s="33">
        <v>0</v>
      </c>
      <c r="K656" s="33">
        <v>700</v>
      </c>
      <c r="L656" s="33">
        <f>700*2</f>
        <v>1400</v>
      </c>
      <c r="M656" s="33">
        <f>700*2</f>
        <v>1400</v>
      </c>
      <c r="N656" s="33">
        <f>700+700</f>
        <v>1400</v>
      </c>
      <c r="O656" s="33">
        <v>700</v>
      </c>
      <c r="P656" s="33">
        <v>700</v>
      </c>
      <c r="Q656" s="33">
        <v>700</v>
      </c>
      <c r="R656" s="33">
        <v>700</v>
      </c>
      <c r="S656" s="33">
        <f t="shared" si="271"/>
        <v>7700</v>
      </c>
    </row>
    <row r="657" spans="1:41" ht="54.75" customHeight="1" x14ac:dyDescent="0.25">
      <c r="A657" s="196"/>
      <c r="B657" s="188"/>
      <c r="C657" s="184"/>
      <c r="D657" s="140" t="s">
        <v>26</v>
      </c>
      <c r="E657" s="141">
        <v>928</v>
      </c>
      <c r="F657" s="142" t="s">
        <v>60</v>
      </c>
      <c r="G657" s="141">
        <v>1330081500</v>
      </c>
      <c r="H657" s="141" t="s">
        <v>262</v>
      </c>
      <c r="I657" s="33">
        <v>0</v>
      </c>
      <c r="J657" s="33">
        <v>0</v>
      </c>
      <c r="K657" s="33">
        <v>800</v>
      </c>
      <c r="L657" s="33">
        <f>800*2</f>
        <v>1600</v>
      </c>
      <c r="M657" s="33">
        <f>800*2</f>
        <v>1600</v>
      </c>
      <c r="N657" s="33">
        <f>800+800</f>
        <v>1600</v>
      </c>
      <c r="O657" s="33">
        <v>800</v>
      </c>
      <c r="P657" s="33">
        <v>800</v>
      </c>
      <c r="Q657" s="33">
        <v>800</v>
      </c>
      <c r="R657" s="33">
        <v>800</v>
      </c>
      <c r="S657" s="33">
        <f t="shared" si="271"/>
        <v>8800</v>
      </c>
    </row>
    <row r="658" spans="1:41" ht="56.25" x14ac:dyDescent="0.25">
      <c r="A658" s="196"/>
      <c r="B658" s="188"/>
      <c r="C658" s="184"/>
      <c r="D658" s="140" t="s">
        <v>27</v>
      </c>
      <c r="E658" s="141">
        <v>931</v>
      </c>
      <c r="F658" s="142" t="s">
        <v>60</v>
      </c>
      <c r="G658" s="141">
        <v>1330081500</v>
      </c>
      <c r="H658" s="141" t="s">
        <v>262</v>
      </c>
      <c r="I658" s="33">
        <v>0</v>
      </c>
      <c r="J658" s="33">
        <v>0</v>
      </c>
      <c r="K658" s="33">
        <v>700</v>
      </c>
      <c r="L658" s="33">
        <f>700*2</f>
        <v>1400</v>
      </c>
      <c r="M658" s="33">
        <f>700*2</f>
        <v>1400</v>
      </c>
      <c r="N658" s="33">
        <f>700+700</f>
        <v>1400</v>
      </c>
      <c r="O658" s="33">
        <v>700</v>
      </c>
      <c r="P658" s="33">
        <v>700</v>
      </c>
      <c r="Q658" s="33">
        <v>700</v>
      </c>
      <c r="R658" s="33">
        <v>700</v>
      </c>
      <c r="S658" s="33">
        <f t="shared" si="271"/>
        <v>7700</v>
      </c>
    </row>
    <row r="659" spans="1:41" ht="43.5" customHeight="1" x14ac:dyDescent="0.25">
      <c r="A659" s="196"/>
      <c r="B659" s="188"/>
      <c r="C659" s="184"/>
      <c r="D659" s="140" t="s">
        <v>28</v>
      </c>
      <c r="E659" s="141">
        <v>934</v>
      </c>
      <c r="F659" s="142" t="s">
        <v>60</v>
      </c>
      <c r="G659" s="141">
        <v>1330081500</v>
      </c>
      <c r="H659" s="141" t="s">
        <v>262</v>
      </c>
      <c r="I659" s="33">
        <v>0</v>
      </c>
      <c r="J659" s="33">
        <v>0</v>
      </c>
      <c r="K659" s="33">
        <v>1500</v>
      </c>
      <c r="L659" s="33">
        <v>2600</v>
      </c>
      <c r="M659" s="33">
        <f>1500*2</f>
        <v>3000</v>
      </c>
      <c r="N659" s="33">
        <f>1500+1500</f>
        <v>3000</v>
      </c>
      <c r="O659" s="33">
        <v>1500</v>
      </c>
      <c r="P659" s="33">
        <v>1500</v>
      </c>
      <c r="Q659" s="33">
        <v>1500</v>
      </c>
      <c r="R659" s="33">
        <v>1500</v>
      </c>
      <c r="S659" s="33">
        <f t="shared" si="271"/>
        <v>16100</v>
      </c>
    </row>
    <row r="660" spans="1:41" ht="43.5" customHeight="1" x14ac:dyDescent="0.25">
      <c r="A660" s="192"/>
      <c r="B660" s="189"/>
      <c r="C660" s="185"/>
      <c r="D660" s="147" t="s">
        <v>29</v>
      </c>
      <c r="E660" s="141">
        <v>937</v>
      </c>
      <c r="F660" s="142" t="s">
        <v>60</v>
      </c>
      <c r="G660" s="141">
        <v>1330081500</v>
      </c>
      <c r="H660" s="141">
        <v>810</v>
      </c>
      <c r="I660" s="33">
        <v>0</v>
      </c>
      <c r="J660" s="33">
        <v>0</v>
      </c>
      <c r="K660" s="33">
        <v>300</v>
      </c>
      <c r="L660" s="33">
        <f>400*2</f>
        <v>800</v>
      </c>
      <c r="M660" s="33">
        <f>400*2</f>
        <v>800</v>
      </c>
      <c r="N660" s="33">
        <f>400+400</f>
        <v>800</v>
      </c>
      <c r="O660" s="33">
        <v>400</v>
      </c>
      <c r="P660" s="33">
        <v>400</v>
      </c>
      <c r="Q660" s="33">
        <v>400</v>
      </c>
      <c r="R660" s="33">
        <v>400</v>
      </c>
      <c r="S660" s="33">
        <f t="shared" si="271"/>
        <v>4300</v>
      </c>
    </row>
    <row r="661" spans="1:41" ht="33" customHeight="1" x14ac:dyDescent="0.25">
      <c r="A661" s="172">
        <v>18</v>
      </c>
      <c r="B661" s="173" t="s">
        <v>277</v>
      </c>
      <c r="C661" s="183" t="s">
        <v>278</v>
      </c>
      <c r="D661" s="140" t="s">
        <v>10</v>
      </c>
      <c r="E661" s="141"/>
      <c r="F661" s="142" t="s">
        <v>74</v>
      </c>
      <c r="G661" s="141" t="s">
        <v>74</v>
      </c>
      <c r="H661" s="141" t="s">
        <v>74</v>
      </c>
      <c r="I661" s="33">
        <f t="shared" ref="I661:R661" si="274">I662</f>
        <v>0</v>
      </c>
      <c r="J661" s="33">
        <f t="shared" si="274"/>
        <v>0</v>
      </c>
      <c r="K661" s="33">
        <f t="shared" si="274"/>
        <v>0</v>
      </c>
      <c r="L661" s="33">
        <f t="shared" si="274"/>
        <v>0</v>
      </c>
      <c r="M661" s="33">
        <f t="shared" si="274"/>
        <v>45809.13</v>
      </c>
      <c r="N661" s="33">
        <f t="shared" si="274"/>
        <v>58668.97</v>
      </c>
      <c r="O661" s="33">
        <f t="shared" si="274"/>
        <v>71353.732000000004</v>
      </c>
      <c r="P661" s="138">
        <f t="shared" si="274"/>
        <v>77091.33</v>
      </c>
      <c r="Q661" s="138">
        <f t="shared" si="274"/>
        <v>0</v>
      </c>
      <c r="R661" s="138">
        <f t="shared" si="274"/>
        <v>0</v>
      </c>
      <c r="S661" s="138">
        <f>SUM(I661:R661)</f>
        <v>252923.16200000001</v>
      </c>
      <c r="AO661" s="35">
        <v>1000</v>
      </c>
    </row>
    <row r="662" spans="1:41" ht="62.25" customHeight="1" x14ac:dyDescent="0.25">
      <c r="A662" s="172"/>
      <c r="B662" s="173"/>
      <c r="C662" s="185"/>
      <c r="D662" s="140" t="s">
        <v>13</v>
      </c>
      <c r="E662" s="142" t="s">
        <v>279</v>
      </c>
      <c r="F662" s="142" t="s">
        <v>74</v>
      </c>
      <c r="G662" s="141" t="s">
        <v>74</v>
      </c>
      <c r="H662" s="141" t="s">
        <v>74</v>
      </c>
      <c r="I662" s="33">
        <f>SUM(I663:I664)</f>
        <v>0</v>
      </c>
      <c r="J662" s="33">
        <f>SUM(J663:J664)</f>
        <v>0</v>
      </c>
      <c r="K662" s="33">
        <f>K663+K664+K665+K670+K677+K686+K690+K691+K698</f>
        <v>0</v>
      </c>
      <c r="L662" s="33">
        <f>L663+L664+L665+L670+L677+L686+L690+L691+L698</f>
        <v>0</v>
      </c>
      <c r="M662" s="33">
        <f>M663+M664+M665+M670+M677+M686+M690+M691+M698</f>
        <v>45809.13</v>
      </c>
      <c r="N662" s="33">
        <f>SUM(N663:N699)</f>
        <v>58668.97</v>
      </c>
      <c r="O662" s="33">
        <f>SUM(O663:O700)</f>
        <v>71353.732000000004</v>
      </c>
      <c r="P662" s="138">
        <f>SUM(P663:P700)</f>
        <v>77091.33</v>
      </c>
      <c r="Q662" s="138">
        <f>Q663+Q664+Q665+Q670+Q677+Q686+Q690+Q691+Q698</f>
        <v>0</v>
      </c>
      <c r="R662" s="138">
        <f>R663+R664+R665+R670+R677+R686+R690+R691+R698</f>
        <v>0</v>
      </c>
      <c r="S662" s="138">
        <f t="shared" si="271"/>
        <v>252923.16200000001</v>
      </c>
    </row>
    <row r="663" spans="1:41" ht="56.25" x14ac:dyDescent="0.25">
      <c r="A663" s="172"/>
      <c r="B663" s="173"/>
      <c r="C663" s="86" t="s">
        <v>285</v>
      </c>
      <c r="D663" s="156" t="s">
        <v>280</v>
      </c>
      <c r="E663" s="156">
        <v>919</v>
      </c>
      <c r="F663" s="159" t="s">
        <v>60</v>
      </c>
      <c r="G663" s="143" t="s">
        <v>281</v>
      </c>
      <c r="H663" s="141">
        <v>240</v>
      </c>
      <c r="I663" s="33">
        <v>0</v>
      </c>
      <c r="J663" s="33">
        <v>0</v>
      </c>
      <c r="K663" s="33">
        <v>0</v>
      </c>
      <c r="L663" s="33">
        <v>0</v>
      </c>
      <c r="M663" s="33">
        <v>1199.5899999999999</v>
      </c>
      <c r="N663" s="33">
        <v>0</v>
      </c>
      <c r="O663" s="33">
        <v>0</v>
      </c>
      <c r="P663" s="33">
        <v>0</v>
      </c>
      <c r="Q663" s="33">
        <v>0</v>
      </c>
      <c r="R663" s="33">
        <v>0</v>
      </c>
      <c r="S663" s="33">
        <f t="shared" si="271"/>
        <v>1199.5899999999999</v>
      </c>
    </row>
    <row r="664" spans="1:41" ht="56.25" x14ac:dyDescent="0.25">
      <c r="A664" s="172"/>
      <c r="B664" s="173"/>
      <c r="C664" s="86" t="s">
        <v>286</v>
      </c>
      <c r="D664" s="157"/>
      <c r="E664" s="157"/>
      <c r="F664" s="160"/>
      <c r="G664" s="143">
        <v>1330089202</v>
      </c>
      <c r="H664" s="141">
        <v>240</v>
      </c>
      <c r="I664" s="33">
        <v>0</v>
      </c>
      <c r="J664" s="33">
        <v>0</v>
      </c>
      <c r="K664" s="33">
        <v>0</v>
      </c>
      <c r="L664" s="33">
        <v>0</v>
      </c>
      <c r="M664" s="33">
        <v>1042.4000000000001</v>
      </c>
      <c r="N664" s="33">
        <v>0</v>
      </c>
      <c r="O664" s="33">
        <v>0</v>
      </c>
      <c r="P664" s="33">
        <v>0</v>
      </c>
      <c r="Q664" s="33">
        <v>0</v>
      </c>
      <c r="R664" s="33">
        <v>0</v>
      </c>
      <c r="S664" s="33">
        <f t="shared" si="271"/>
        <v>1042.4000000000001</v>
      </c>
    </row>
    <row r="665" spans="1:41" ht="56.25" x14ac:dyDescent="0.25">
      <c r="A665" s="172"/>
      <c r="B665" s="173"/>
      <c r="C665" s="86" t="s">
        <v>287</v>
      </c>
      <c r="D665" s="157"/>
      <c r="E665" s="157"/>
      <c r="F665" s="160"/>
      <c r="G665" s="143">
        <v>1330089203</v>
      </c>
      <c r="H665" s="141">
        <v>240</v>
      </c>
      <c r="I665" s="33">
        <v>0</v>
      </c>
      <c r="J665" s="33">
        <v>0</v>
      </c>
      <c r="K665" s="33">
        <v>0</v>
      </c>
      <c r="L665" s="33">
        <v>0</v>
      </c>
      <c r="M665" s="33">
        <v>1518.49</v>
      </c>
      <c r="N665" s="33">
        <v>0</v>
      </c>
      <c r="O665" s="33">
        <v>0</v>
      </c>
      <c r="P665" s="33">
        <v>0</v>
      </c>
      <c r="Q665" s="33">
        <v>0</v>
      </c>
      <c r="R665" s="33">
        <v>0</v>
      </c>
      <c r="S665" s="33">
        <f t="shared" si="271"/>
        <v>1518.49</v>
      </c>
    </row>
    <row r="666" spans="1:41" ht="37.5" x14ac:dyDescent="0.25">
      <c r="A666" s="172"/>
      <c r="B666" s="173"/>
      <c r="C666" s="89" t="s">
        <v>300</v>
      </c>
      <c r="D666" s="157"/>
      <c r="E666" s="157"/>
      <c r="F666" s="160"/>
      <c r="G666" s="143">
        <v>1330089210</v>
      </c>
      <c r="H666" s="141">
        <v>240</v>
      </c>
      <c r="I666" s="33">
        <v>0</v>
      </c>
      <c r="J666" s="33">
        <v>0</v>
      </c>
      <c r="K666" s="33">
        <v>0</v>
      </c>
      <c r="L666" s="33">
        <v>0</v>
      </c>
      <c r="M666" s="33">
        <v>0</v>
      </c>
      <c r="N666" s="88">
        <v>3858.51</v>
      </c>
      <c r="O666" s="33">
        <v>0</v>
      </c>
      <c r="P666" s="33">
        <v>0</v>
      </c>
      <c r="Q666" s="33">
        <v>0</v>
      </c>
      <c r="R666" s="33">
        <v>0</v>
      </c>
      <c r="S666" s="33">
        <f t="shared" si="271"/>
        <v>3858.51</v>
      </c>
    </row>
    <row r="667" spans="1:41" ht="168.75" x14ac:dyDescent="0.25">
      <c r="A667" s="172"/>
      <c r="B667" s="173"/>
      <c r="C667" s="89" t="s">
        <v>312</v>
      </c>
      <c r="D667" s="157"/>
      <c r="E667" s="157"/>
      <c r="F667" s="160"/>
      <c r="G667" s="143">
        <v>1330089220</v>
      </c>
      <c r="H667" s="141">
        <v>240</v>
      </c>
      <c r="I667" s="33">
        <v>0</v>
      </c>
      <c r="J667" s="33">
        <v>0</v>
      </c>
      <c r="K667" s="33">
        <v>0</v>
      </c>
      <c r="L667" s="33">
        <v>0</v>
      </c>
      <c r="M667" s="33">
        <v>0</v>
      </c>
      <c r="N667" s="88">
        <v>0</v>
      </c>
      <c r="O667" s="33">
        <f>6939.73-1534.23</f>
        <v>5405.5</v>
      </c>
      <c r="P667" s="33">
        <v>0</v>
      </c>
      <c r="Q667" s="33">
        <v>0</v>
      </c>
      <c r="R667" s="33">
        <v>0</v>
      </c>
      <c r="S667" s="33">
        <f t="shared" si="271"/>
        <v>5405.5</v>
      </c>
    </row>
    <row r="668" spans="1:41" ht="75" x14ac:dyDescent="0.25">
      <c r="A668" s="172"/>
      <c r="B668" s="173"/>
      <c r="C668" s="89" t="s">
        <v>331</v>
      </c>
      <c r="D668" s="157"/>
      <c r="E668" s="157"/>
      <c r="F668" s="160"/>
      <c r="G668" s="143">
        <v>1330089330</v>
      </c>
      <c r="H668" s="141">
        <v>240</v>
      </c>
      <c r="I668" s="33">
        <v>0</v>
      </c>
      <c r="J668" s="33">
        <v>0</v>
      </c>
      <c r="K668" s="33">
        <v>0</v>
      </c>
      <c r="L668" s="33">
        <v>0</v>
      </c>
      <c r="M668" s="33">
        <v>0</v>
      </c>
      <c r="N668" s="88">
        <v>0</v>
      </c>
      <c r="O668" s="33">
        <v>0</v>
      </c>
      <c r="P668" s="33">
        <f>3650+37.93</f>
        <v>3687.93</v>
      </c>
      <c r="Q668" s="33">
        <v>0</v>
      </c>
      <c r="R668" s="33">
        <v>0</v>
      </c>
      <c r="S668" s="33">
        <f t="shared" si="271"/>
        <v>3687.93</v>
      </c>
    </row>
    <row r="669" spans="1:41" ht="112.5" x14ac:dyDescent="0.25">
      <c r="A669" s="172"/>
      <c r="B669" s="173"/>
      <c r="C669" s="89" t="s">
        <v>332</v>
      </c>
      <c r="D669" s="158"/>
      <c r="E669" s="158"/>
      <c r="F669" s="161"/>
      <c r="G669" s="143">
        <v>1330089331</v>
      </c>
      <c r="H669" s="141">
        <v>240</v>
      </c>
      <c r="I669" s="33">
        <v>0</v>
      </c>
      <c r="J669" s="33">
        <v>0</v>
      </c>
      <c r="K669" s="33">
        <v>0</v>
      </c>
      <c r="L669" s="33">
        <v>0</v>
      </c>
      <c r="M669" s="33">
        <v>0</v>
      </c>
      <c r="N669" s="88">
        <v>0</v>
      </c>
      <c r="O669" s="33">
        <v>0</v>
      </c>
      <c r="P669" s="33">
        <f>1850+19.82</f>
        <v>1869.82</v>
      </c>
      <c r="Q669" s="33">
        <v>0</v>
      </c>
      <c r="R669" s="33">
        <v>0</v>
      </c>
      <c r="S669" s="33">
        <f t="shared" si="271"/>
        <v>1869.82</v>
      </c>
    </row>
    <row r="670" spans="1:41" ht="75" x14ac:dyDescent="0.25">
      <c r="A670" s="172"/>
      <c r="B670" s="173"/>
      <c r="C670" s="86" t="s">
        <v>288</v>
      </c>
      <c r="D670" s="201" t="s">
        <v>15</v>
      </c>
      <c r="E670" s="156">
        <v>922</v>
      </c>
      <c r="F670" s="159" t="s">
        <v>60</v>
      </c>
      <c r="G670" s="143">
        <v>1330089204</v>
      </c>
      <c r="H670" s="141">
        <v>240</v>
      </c>
      <c r="I670" s="33">
        <v>0</v>
      </c>
      <c r="J670" s="33">
        <v>0</v>
      </c>
      <c r="K670" s="33">
        <v>0</v>
      </c>
      <c r="L670" s="33">
        <v>0</v>
      </c>
      <c r="M670" s="33">
        <f>6100-5788.9-311.1</f>
        <v>0</v>
      </c>
      <c r="N670" s="33">
        <v>0</v>
      </c>
      <c r="O670" s="33">
        <v>0</v>
      </c>
      <c r="P670" s="33">
        <v>0</v>
      </c>
      <c r="Q670" s="33">
        <v>0</v>
      </c>
      <c r="R670" s="33">
        <v>0</v>
      </c>
      <c r="S670" s="33">
        <f>SUM(I670:R670)</f>
        <v>0</v>
      </c>
    </row>
    <row r="671" spans="1:41" ht="46.5" customHeight="1" x14ac:dyDescent="0.25">
      <c r="A671" s="172"/>
      <c r="B671" s="173"/>
      <c r="C671" s="89" t="s">
        <v>301</v>
      </c>
      <c r="D671" s="202"/>
      <c r="E671" s="157"/>
      <c r="F671" s="160"/>
      <c r="G671" s="143">
        <v>1330089211</v>
      </c>
      <c r="H671" s="141">
        <v>240</v>
      </c>
      <c r="I671" s="33">
        <v>0</v>
      </c>
      <c r="J671" s="33">
        <v>0</v>
      </c>
      <c r="K671" s="33">
        <v>0</v>
      </c>
      <c r="L671" s="33">
        <v>0</v>
      </c>
      <c r="M671" s="33">
        <v>0</v>
      </c>
      <c r="N671" s="88">
        <v>3403.4</v>
      </c>
      <c r="O671" s="88">
        <v>0</v>
      </c>
      <c r="P671" s="33">
        <v>0</v>
      </c>
      <c r="Q671" s="33">
        <v>0</v>
      </c>
      <c r="R671" s="33">
        <v>0</v>
      </c>
      <c r="S671" s="33">
        <f>SUM(I671:R671)</f>
        <v>3403.4</v>
      </c>
    </row>
    <row r="672" spans="1:41" ht="56.25" x14ac:dyDescent="0.25">
      <c r="A672" s="172"/>
      <c r="B672" s="173"/>
      <c r="C672" s="89" t="s">
        <v>302</v>
      </c>
      <c r="D672" s="202"/>
      <c r="E672" s="157"/>
      <c r="F672" s="160"/>
      <c r="G672" s="143">
        <v>1330089212</v>
      </c>
      <c r="H672" s="141">
        <v>240</v>
      </c>
      <c r="I672" s="33">
        <v>0</v>
      </c>
      <c r="J672" s="33">
        <v>0</v>
      </c>
      <c r="K672" s="33">
        <v>0</v>
      </c>
      <c r="L672" s="33">
        <v>0</v>
      </c>
      <c r="M672" s="33">
        <v>0</v>
      </c>
      <c r="N672" s="88">
        <v>2441.4</v>
      </c>
      <c r="O672" s="88">
        <v>0</v>
      </c>
      <c r="P672" s="33">
        <v>0</v>
      </c>
      <c r="Q672" s="33">
        <v>0</v>
      </c>
      <c r="R672" s="33">
        <v>0</v>
      </c>
      <c r="S672" s="33">
        <f>SUM(I672:R672)</f>
        <v>2441.4</v>
      </c>
    </row>
    <row r="673" spans="1:19" ht="56.25" x14ac:dyDescent="0.25">
      <c r="A673" s="172"/>
      <c r="B673" s="173"/>
      <c r="C673" s="89" t="s">
        <v>303</v>
      </c>
      <c r="D673" s="202"/>
      <c r="E673" s="157"/>
      <c r="F673" s="160"/>
      <c r="G673" s="143">
        <v>1330089213</v>
      </c>
      <c r="H673" s="141">
        <v>240</v>
      </c>
      <c r="I673" s="33">
        <v>0</v>
      </c>
      <c r="J673" s="33">
        <v>0</v>
      </c>
      <c r="K673" s="33">
        <v>0</v>
      </c>
      <c r="L673" s="33">
        <v>0</v>
      </c>
      <c r="M673" s="33">
        <v>0</v>
      </c>
      <c r="N673" s="88">
        <v>3830.39</v>
      </c>
      <c r="O673" s="88">
        <v>0</v>
      </c>
      <c r="P673" s="33">
        <v>0</v>
      </c>
      <c r="Q673" s="33">
        <v>0</v>
      </c>
      <c r="R673" s="33">
        <v>0</v>
      </c>
      <c r="S673" s="33">
        <f t="shared" si="271"/>
        <v>3830.39</v>
      </c>
    </row>
    <row r="674" spans="1:19" x14ac:dyDescent="0.25">
      <c r="A674" s="172"/>
      <c r="B674" s="173"/>
      <c r="C674" s="89" t="s">
        <v>313</v>
      </c>
      <c r="D674" s="202"/>
      <c r="E674" s="157"/>
      <c r="F674" s="160"/>
      <c r="G674" s="143">
        <v>1330089221</v>
      </c>
      <c r="H674" s="141">
        <v>240</v>
      </c>
      <c r="I674" s="33">
        <v>0</v>
      </c>
      <c r="J674" s="33">
        <v>0</v>
      </c>
      <c r="K674" s="33">
        <v>0</v>
      </c>
      <c r="L674" s="33">
        <v>0</v>
      </c>
      <c r="M674" s="33">
        <v>0</v>
      </c>
      <c r="N674" s="88">
        <v>0</v>
      </c>
      <c r="O674" s="88">
        <v>5193.84</v>
      </c>
      <c r="P674" s="33">
        <v>0</v>
      </c>
      <c r="Q674" s="33">
        <v>0</v>
      </c>
      <c r="R674" s="33">
        <v>0</v>
      </c>
      <c r="S674" s="33">
        <f t="shared" si="271"/>
        <v>5193.84</v>
      </c>
    </row>
    <row r="675" spans="1:19" x14ac:dyDescent="0.25">
      <c r="A675" s="172"/>
      <c r="B675" s="173"/>
      <c r="C675" s="86" t="s">
        <v>314</v>
      </c>
      <c r="D675" s="202"/>
      <c r="E675" s="157"/>
      <c r="F675" s="160"/>
      <c r="G675" s="143">
        <v>1330089222</v>
      </c>
      <c r="H675" s="141">
        <v>240</v>
      </c>
      <c r="I675" s="33">
        <v>0</v>
      </c>
      <c r="J675" s="33">
        <v>0</v>
      </c>
      <c r="K675" s="33">
        <v>0</v>
      </c>
      <c r="L675" s="33">
        <v>0</v>
      </c>
      <c r="M675" s="33">
        <v>0</v>
      </c>
      <c r="N675" s="88">
        <v>0</v>
      </c>
      <c r="O675" s="88">
        <f>11333.84-1099.38</f>
        <v>10234.459999999999</v>
      </c>
      <c r="P675" s="33">
        <v>0</v>
      </c>
      <c r="Q675" s="33">
        <v>0</v>
      </c>
      <c r="R675" s="33">
        <v>0</v>
      </c>
      <c r="S675" s="33">
        <f t="shared" si="271"/>
        <v>10234.459999999999</v>
      </c>
    </row>
    <row r="676" spans="1:19" ht="112.5" x14ac:dyDescent="0.25">
      <c r="A676" s="172"/>
      <c r="B676" s="173"/>
      <c r="C676" s="86" t="s">
        <v>333</v>
      </c>
      <c r="D676" s="203"/>
      <c r="E676" s="158"/>
      <c r="F676" s="161"/>
      <c r="G676" s="143">
        <v>1330089332</v>
      </c>
      <c r="H676" s="141">
        <v>240</v>
      </c>
      <c r="I676" s="33">
        <v>0</v>
      </c>
      <c r="J676" s="33">
        <v>0</v>
      </c>
      <c r="K676" s="33">
        <v>0</v>
      </c>
      <c r="L676" s="33">
        <v>0</v>
      </c>
      <c r="M676" s="33">
        <v>0</v>
      </c>
      <c r="N676" s="88">
        <v>0</v>
      </c>
      <c r="O676" s="88">
        <v>0</v>
      </c>
      <c r="P676" s="33">
        <f>10000+431.82</f>
        <v>10431.82</v>
      </c>
      <c r="Q676" s="33">
        <v>0</v>
      </c>
      <c r="R676" s="33">
        <v>0</v>
      </c>
      <c r="S676" s="33">
        <f t="shared" si="271"/>
        <v>10431.82</v>
      </c>
    </row>
    <row r="677" spans="1:19" ht="37.5" x14ac:dyDescent="0.25">
      <c r="A677" s="172"/>
      <c r="B677" s="173"/>
      <c r="C677" s="86" t="s">
        <v>289</v>
      </c>
      <c r="D677" s="201" t="s">
        <v>17</v>
      </c>
      <c r="E677" s="156">
        <v>928</v>
      </c>
      <c r="F677" s="159" t="s">
        <v>60</v>
      </c>
      <c r="G677" s="143">
        <v>1330089205</v>
      </c>
      <c r="H677" s="141">
        <v>240</v>
      </c>
      <c r="I677" s="33">
        <v>0</v>
      </c>
      <c r="J677" s="33">
        <v>0</v>
      </c>
      <c r="K677" s="33">
        <v>0</v>
      </c>
      <c r="L677" s="33">
        <v>0</v>
      </c>
      <c r="M677" s="33">
        <v>0</v>
      </c>
      <c r="N677" s="33">
        <v>0</v>
      </c>
      <c r="O677" s="33">
        <v>0</v>
      </c>
      <c r="P677" s="33">
        <v>0</v>
      </c>
      <c r="Q677" s="33">
        <v>0</v>
      </c>
      <c r="R677" s="33">
        <v>0</v>
      </c>
      <c r="S677" s="33">
        <f t="shared" si="271"/>
        <v>0</v>
      </c>
    </row>
    <row r="678" spans="1:19" ht="75" x14ac:dyDescent="0.25">
      <c r="A678" s="172"/>
      <c r="B678" s="173"/>
      <c r="C678" s="89" t="s">
        <v>304</v>
      </c>
      <c r="D678" s="202"/>
      <c r="E678" s="157"/>
      <c r="F678" s="160"/>
      <c r="G678" s="143">
        <v>1330089214</v>
      </c>
      <c r="H678" s="141">
        <v>240</v>
      </c>
      <c r="I678" s="33">
        <v>0</v>
      </c>
      <c r="J678" s="33">
        <v>0</v>
      </c>
      <c r="K678" s="33">
        <v>0</v>
      </c>
      <c r="L678" s="33">
        <v>0</v>
      </c>
      <c r="M678" s="33">
        <v>0</v>
      </c>
      <c r="N678" s="88">
        <v>0</v>
      </c>
      <c r="O678" s="88">
        <v>0</v>
      </c>
      <c r="P678" s="33">
        <v>0</v>
      </c>
      <c r="Q678" s="33">
        <v>0</v>
      </c>
      <c r="R678" s="33">
        <v>0</v>
      </c>
      <c r="S678" s="33">
        <f t="shared" si="271"/>
        <v>0</v>
      </c>
    </row>
    <row r="679" spans="1:19" ht="112.5" x14ac:dyDescent="0.25">
      <c r="A679" s="172"/>
      <c r="B679" s="173"/>
      <c r="C679" s="89" t="s">
        <v>305</v>
      </c>
      <c r="D679" s="202"/>
      <c r="E679" s="157"/>
      <c r="F679" s="160"/>
      <c r="G679" s="143">
        <v>1330089215</v>
      </c>
      <c r="H679" s="141">
        <v>240</v>
      </c>
      <c r="I679" s="33">
        <v>0</v>
      </c>
      <c r="J679" s="33">
        <v>0</v>
      </c>
      <c r="K679" s="33">
        <v>0</v>
      </c>
      <c r="L679" s="33">
        <v>0</v>
      </c>
      <c r="M679" s="33">
        <v>0</v>
      </c>
      <c r="N679" s="88">
        <v>4927.66</v>
      </c>
      <c r="O679" s="88">
        <v>0</v>
      </c>
      <c r="P679" s="33">
        <v>0</v>
      </c>
      <c r="Q679" s="33">
        <v>0</v>
      </c>
      <c r="R679" s="33">
        <v>0</v>
      </c>
      <c r="S679" s="33">
        <f t="shared" si="271"/>
        <v>4927.66</v>
      </c>
    </row>
    <row r="680" spans="1:19" ht="131.25" x14ac:dyDescent="0.25">
      <c r="A680" s="172"/>
      <c r="B680" s="173"/>
      <c r="C680" s="89" t="s">
        <v>316</v>
      </c>
      <c r="D680" s="202"/>
      <c r="E680" s="157"/>
      <c r="F680" s="160"/>
      <c r="G680" s="143">
        <v>1330089223</v>
      </c>
      <c r="H680" s="141">
        <v>240</v>
      </c>
      <c r="I680" s="33">
        <v>0</v>
      </c>
      <c r="J680" s="33">
        <v>0</v>
      </c>
      <c r="K680" s="33">
        <v>0</v>
      </c>
      <c r="L680" s="33">
        <v>0</v>
      </c>
      <c r="M680" s="33">
        <v>0</v>
      </c>
      <c r="N680" s="33">
        <v>0</v>
      </c>
      <c r="O680" s="88">
        <f>2469.69-659.8-22.99</f>
        <v>1786.9</v>
      </c>
      <c r="P680" s="33">
        <v>0</v>
      </c>
      <c r="Q680" s="33">
        <v>0</v>
      </c>
      <c r="R680" s="33">
        <v>0</v>
      </c>
      <c r="S680" s="33">
        <f t="shared" si="271"/>
        <v>1786.9</v>
      </c>
    </row>
    <row r="681" spans="1:19" ht="56.25" x14ac:dyDescent="0.25">
      <c r="A681" s="172"/>
      <c r="B681" s="173"/>
      <c r="C681" s="89" t="s">
        <v>317</v>
      </c>
      <c r="D681" s="202"/>
      <c r="E681" s="157"/>
      <c r="F681" s="160"/>
      <c r="G681" s="143">
        <v>1330089224</v>
      </c>
      <c r="H681" s="141">
        <v>240</v>
      </c>
      <c r="I681" s="33">
        <v>0</v>
      </c>
      <c r="J681" s="33">
        <v>0</v>
      </c>
      <c r="K681" s="33">
        <v>0</v>
      </c>
      <c r="L681" s="33">
        <v>0</v>
      </c>
      <c r="M681" s="33">
        <v>0</v>
      </c>
      <c r="N681" s="33">
        <v>0</v>
      </c>
      <c r="O681" s="88">
        <v>7750.06</v>
      </c>
      <c r="P681" s="33">
        <v>0</v>
      </c>
      <c r="Q681" s="33">
        <v>0</v>
      </c>
      <c r="R681" s="33">
        <v>0</v>
      </c>
      <c r="S681" s="33">
        <f t="shared" si="271"/>
        <v>7750.06</v>
      </c>
    </row>
    <row r="682" spans="1:19" x14ac:dyDescent="0.25">
      <c r="A682" s="172"/>
      <c r="B682" s="173"/>
      <c r="C682" s="89" t="s">
        <v>315</v>
      </c>
      <c r="D682" s="202"/>
      <c r="E682" s="157"/>
      <c r="F682" s="160"/>
      <c r="G682" s="143">
        <v>1330089225</v>
      </c>
      <c r="H682" s="141">
        <v>240</v>
      </c>
      <c r="I682" s="33">
        <v>0</v>
      </c>
      <c r="J682" s="33">
        <v>0</v>
      </c>
      <c r="K682" s="33">
        <v>0</v>
      </c>
      <c r="L682" s="33">
        <v>0</v>
      </c>
      <c r="M682" s="33">
        <v>0</v>
      </c>
      <c r="N682" s="33">
        <v>0</v>
      </c>
      <c r="O682" s="88">
        <v>13033.45</v>
      </c>
      <c r="P682" s="33">
        <v>0</v>
      </c>
      <c r="Q682" s="33">
        <v>0</v>
      </c>
      <c r="R682" s="33">
        <v>0</v>
      </c>
      <c r="S682" s="33">
        <f t="shared" si="271"/>
        <v>13033.45</v>
      </c>
    </row>
    <row r="683" spans="1:19" ht="131.25" x14ac:dyDescent="0.25">
      <c r="A683" s="172"/>
      <c r="B683" s="173"/>
      <c r="C683" s="89" t="s">
        <v>334</v>
      </c>
      <c r="D683" s="202"/>
      <c r="E683" s="157"/>
      <c r="F683" s="160"/>
      <c r="G683" s="143">
        <v>1330089333</v>
      </c>
      <c r="H683" s="141">
        <v>240</v>
      </c>
      <c r="I683" s="33">
        <v>0</v>
      </c>
      <c r="J683" s="33">
        <v>0</v>
      </c>
      <c r="K683" s="33">
        <v>0</v>
      </c>
      <c r="L683" s="33">
        <v>0</v>
      </c>
      <c r="M683" s="33">
        <v>0</v>
      </c>
      <c r="N683" s="33">
        <v>0</v>
      </c>
      <c r="O683" s="88">
        <v>0</v>
      </c>
      <c r="P683" s="33">
        <f>5000+50</f>
        <v>5050</v>
      </c>
      <c r="Q683" s="33">
        <v>0</v>
      </c>
      <c r="R683" s="33">
        <v>0</v>
      </c>
      <c r="S683" s="33">
        <f t="shared" si="271"/>
        <v>5050</v>
      </c>
    </row>
    <row r="684" spans="1:19" ht="75" x14ac:dyDescent="0.25">
      <c r="A684" s="172"/>
      <c r="B684" s="173"/>
      <c r="C684" s="89" t="s">
        <v>335</v>
      </c>
      <c r="D684" s="202"/>
      <c r="E684" s="157"/>
      <c r="F684" s="160"/>
      <c r="G684" s="143">
        <v>1330089334</v>
      </c>
      <c r="H684" s="141">
        <v>240</v>
      </c>
      <c r="I684" s="33">
        <v>0</v>
      </c>
      <c r="J684" s="33">
        <v>0</v>
      </c>
      <c r="K684" s="33">
        <v>0</v>
      </c>
      <c r="L684" s="33">
        <v>0</v>
      </c>
      <c r="M684" s="33">
        <v>0</v>
      </c>
      <c r="N684" s="33">
        <v>0</v>
      </c>
      <c r="O684" s="88">
        <v>0</v>
      </c>
      <c r="P684" s="33">
        <v>8000</v>
      </c>
      <c r="Q684" s="33">
        <v>0</v>
      </c>
      <c r="R684" s="33">
        <v>0</v>
      </c>
      <c r="S684" s="33">
        <f t="shared" si="271"/>
        <v>8000</v>
      </c>
    </row>
    <row r="685" spans="1:19" ht="75" x14ac:dyDescent="0.25">
      <c r="A685" s="172"/>
      <c r="B685" s="173"/>
      <c r="C685" s="89" t="s">
        <v>336</v>
      </c>
      <c r="D685" s="203"/>
      <c r="E685" s="158"/>
      <c r="F685" s="161"/>
      <c r="G685" s="143">
        <v>1330089335</v>
      </c>
      <c r="H685" s="141">
        <v>240</v>
      </c>
      <c r="I685" s="33">
        <v>0</v>
      </c>
      <c r="J685" s="33">
        <v>0</v>
      </c>
      <c r="K685" s="33">
        <v>0</v>
      </c>
      <c r="L685" s="33">
        <v>0</v>
      </c>
      <c r="M685" s="33">
        <v>0</v>
      </c>
      <c r="N685" s="33">
        <v>0</v>
      </c>
      <c r="O685" s="88">
        <v>0</v>
      </c>
      <c r="P685" s="33">
        <v>11500</v>
      </c>
      <c r="Q685" s="33">
        <v>0</v>
      </c>
      <c r="R685" s="33">
        <v>0</v>
      </c>
      <c r="S685" s="33">
        <f t="shared" si="271"/>
        <v>11500</v>
      </c>
    </row>
    <row r="686" spans="1:19" ht="56.25" customHeight="1" x14ac:dyDescent="0.25">
      <c r="A686" s="172"/>
      <c r="B686" s="173"/>
      <c r="C686" s="86" t="s">
        <v>282</v>
      </c>
      <c r="D686" s="201" t="s">
        <v>18</v>
      </c>
      <c r="E686" s="156">
        <v>931</v>
      </c>
      <c r="F686" s="159" t="s">
        <v>60</v>
      </c>
      <c r="G686" s="143">
        <v>1330089206</v>
      </c>
      <c r="H686" s="141">
        <v>240</v>
      </c>
      <c r="I686" s="33">
        <v>0</v>
      </c>
      <c r="J686" s="33">
        <v>0</v>
      </c>
      <c r="K686" s="33">
        <v>0</v>
      </c>
      <c r="L686" s="33">
        <v>0</v>
      </c>
      <c r="M686" s="33">
        <v>9965.5</v>
      </c>
      <c r="N686" s="33">
        <v>0</v>
      </c>
      <c r="O686" s="33">
        <v>0</v>
      </c>
      <c r="P686" s="33">
        <v>0</v>
      </c>
      <c r="Q686" s="33">
        <v>0</v>
      </c>
      <c r="R686" s="33">
        <v>0</v>
      </c>
      <c r="S686" s="33">
        <f t="shared" si="271"/>
        <v>9965.5</v>
      </c>
    </row>
    <row r="687" spans="1:19" x14ac:dyDescent="0.25">
      <c r="A687" s="172"/>
      <c r="B687" s="173"/>
      <c r="C687" s="86" t="s">
        <v>338</v>
      </c>
      <c r="D687" s="202"/>
      <c r="E687" s="157"/>
      <c r="F687" s="160"/>
      <c r="G687" s="143">
        <v>1330089226</v>
      </c>
      <c r="H687" s="141">
        <v>240</v>
      </c>
      <c r="I687" s="33">
        <v>0</v>
      </c>
      <c r="J687" s="33">
        <v>0</v>
      </c>
      <c r="K687" s="33">
        <v>0</v>
      </c>
      <c r="L687" s="33">
        <v>0</v>
      </c>
      <c r="M687" s="33">
        <v>0</v>
      </c>
      <c r="N687" s="33">
        <v>0</v>
      </c>
      <c r="O687" s="33">
        <v>10000</v>
      </c>
      <c r="P687" s="33">
        <f>3000+195</f>
        <v>3195</v>
      </c>
      <c r="Q687" s="33">
        <v>0</v>
      </c>
      <c r="R687" s="33">
        <v>0</v>
      </c>
      <c r="S687" s="33">
        <f t="shared" si="271"/>
        <v>13195</v>
      </c>
    </row>
    <row r="688" spans="1:19" ht="19.5" customHeight="1" x14ac:dyDescent="0.25">
      <c r="A688" s="172"/>
      <c r="B688" s="173"/>
      <c r="C688" s="86" t="s">
        <v>318</v>
      </c>
      <c r="D688" s="202"/>
      <c r="E688" s="157"/>
      <c r="F688" s="160"/>
      <c r="G688" s="143">
        <v>1330089227</v>
      </c>
      <c r="H688" s="141">
        <v>240</v>
      </c>
      <c r="I688" s="33">
        <v>0</v>
      </c>
      <c r="J688" s="33">
        <v>0</v>
      </c>
      <c r="K688" s="33">
        <v>0</v>
      </c>
      <c r="L688" s="33">
        <v>0</v>
      </c>
      <c r="M688" s="33">
        <v>0</v>
      </c>
      <c r="N688" s="33">
        <v>0</v>
      </c>
      <c r="O688" s="33">
        <f>10529.24-2117.84-600</f>
        <v>7811.4</v>
      </c>
      <c r="P688" s="33">
        <v>0</v>
      </c>
      <c r="Q688" s="33">
        <v>0</v>
      </c>
      <c r="R688" s="33">
        <v>0</v>
      </c>
      <c r="S688" s="33">
        <f>SUM(I688:R688)</f>
        <v>7811.4</v>
      </c>
    </row>
    <row r="689" spans="1:26" ht="37.5" x14ac:dyDescent="0.25">
      <c r="A689" s="172"/>
      <c r="B689" s="173"/>
      <c r="C689" s="86" t="s">
        <v>337</v>
      </c>
      <c r="D689" s="202"/>
      <c r="E689" s="157"/>
      <c r="F689" s="160"/>
      <c r="G689" s="143">
        <v>1330089336</v>
      </c>
      <c r="H689" s="141">
        <v>240</v>
      </c>
      <c r="I689" s="33">
        <v>0</v>
      </c>
      <c r="J689" s="33">
        <v>0</v>
      </c>
      <c r="K689" s="33">
        <v>0</v>
      </c>
      <c r="L689" s="33">
        <v>0</v>
      </c>
      <c r="M689" s="33">
        <v>0</v>
      </c>
      <c r="N689" s="33">
        <v>0</v>
      </c>
      <c r="O689" s="33">
        <v>0</v>
      </c>
      <c r="P689" s="33">
        <f>8000+366.5</f>
        <v>8366.5</v>
      </c>
      <c r="Q689" s="33">
        <v>0</v>
      </c>
      <c r="R689" s="33">
        <v>0</v>
      </c>
      <c r="S689" s="33">
        <f>SUM(I689:R689)</f>
        <v>8366.5</v>
      </c>
    </row>
    <row r="690" spans="1:26" ht="37.5" x14ac:dyDescent="0.25">
      <c r="A690" s="172"/>
      <c r="B690" s="173"/>
      <c r="C690" s="86" t="s">
        <v>290</v>
      </c>
      <c r="D690" s="156" t="s">
        <v>19</v>
      </c>
      <c r="E690" s="156">
        <v>934</v>
      </c>
      <c r="F690" s="159" t="s">
        <v>60</v>
      </c>
      <c r="G690" s="143">
        <v>1330089207</v>
      </c>
      <c r="H690" s="141">
        <v>240</v>
      </c>
      <c r="I690" s="33">
        <v>0</v>
      </c>
      <c r="J690" s="33">
        <v>0</v>
      </c>
      <c r="K690" s="33">
        <v>0</v>
      </c>
      <c r="L690" s="33">
        <v>0</v>
      </c>
      <c r="M690" s="33">
        <v>7506.84</v>
      </c>
      <c r="N690" s="33">
        <v>0</v>
      </c>
      <c r="O690" s="33">
        <v>0</v>
      </c>
      <c r="P690" s="33">
        <v>0</v>
      </c>
      <c r="Q690" s="33">
        <v>0</v>
      </c>
      <c r="R690" s="33">
        <v>0</v>
      </c>
      <c r="S690" s="33">
        <f t="shared" si="271"/>
        <v>7506.84</v>
      </c>
    </row>
    <row r="691" spans="1:26" ht="37.5" x14ac:dyDescent="0.25">
      <c r="A691" s="172"/>
      <c r="B691" s="173"/>
      <c r="C691" s="86" t="s">
        <v>283</v>
      </c>
      <c r="D691" s="157"/>
      <c r="E691" s="157"/>
      <c r="F691" s="160"/>
      <c r="G691" s="143">
        <v>1330089208</v>
      </c>
      <c r="H691" s="141">
        <v>240</v>
      </c>
      <c r="I691" s="33">
        <v>0</v>
      </c>
      <c r="J691" s="33">
        <v>0</v>
      </c>
      <c r="K691" s="33">
        <v>0</v>
      </c>
      <c r="L691" s="33">
        <v>0</v>
      </c>
      <c r="M691" s="33">
        <v>8297.1</v>
      </c>
      <c r="N691" s="33">
        <v>0</v>
      </c>
      <c r="O691" s="33">
        <v>0</v>
      </c>
      <c r="P691" s="33">
        <v>0</v>
      </c>
      <c r="Q691" s="33">
        <v>0</v>
      </c>
      <c r="R691" s="33">
        <v>0</v>
      </c>
      <c r="S691" s="33">
        <f t="shared" si="271"/>
        <v>8297.1</v>
      </c>
    </row>
    <row r="692" spans="1:26" ht="32.25" customHeight="1" x14ac:dyDescent="0.25">
      <c r="A692" s="172"/>
      <c r="B692" s="173"/>
      <c r="C692" s="89" t="s">
        <v>298</v>
      </c>
      <c r="D692" s="157"/>
      <c r="E692" s="157"/>
      <c r="F692" s="160"/>
      <c r="G692" s="143">
        <v>1330089216</v>
      </c>
      <c r="H692" s="141">
        <v>240</v>
      </c>
      <c r="I692" s="33">
        <v>0</v>
      </c>
      <c r="J692" s="33">
        <v>0</v>
      </c>
      <c r="K692" s="33">
        <v>0</v>
      </c>
      <c r="L692" s="33">
        <v>0</v>
      </c>
      <c r="M692" s="33">
        <v>0</v>
      </c>
      <c r="N692" s="88">
        <v>8403.4699999999993</v>
      </c>
      <c r="O692" s="88">
        <v>0</v>
      </c>
      <c r="P692" s="33">
        <v>0</v>
      </c>
      <c r="Q692" s="33">
        <v>0</v>
      </c>
      <c r="R692" s="33">
        <v>0</v>
      </c>
      <c r="S692" s="33">
        <f t="shared" si="271"/>
        <v>8403.4699999999993</v>
      </c>
    </row>
    <row r="693" spans="1:26" ht="56.25" x14ac:dyDescent="0.25">
      <c r="A693" s="172"/>
      <c r="B693" s="173"/>
      <c r="C693" s="89" t="s">
        <v>299</v>
      </c>
      <c r="D693" s="157"/>
      <c r="E693" s="157"/>
      <c r="F693" s="160"/>
      <c r="G693" s="143">
        <v>1330089217</v>
      </c>
      <c r="H693" s="141">
        <v>240</v>
      </c>
      <c r="I693" s="33">
        <v>0</v>
      </c>
      <c r="J693" s="33">
        <v>0</v>
      </c>
      <c r="K693" s="33">
        <v>0</v>
      </c>
      <c r="L693" s="33">
        <v>0</v>
      </c>
      <c r="M693" s="33">
        <v>0</v>
      </c>
      <c r="N693" s="88">
        <v>19439.36</v>
      </c>
      <c r="O693" s="88">
        <v>0</v>
      </c>
      <c r="P693" s="33">
        <v>0</v>
      </c>
      <c r="Q693" s="33">
        <v>0</v>
      </c>
      <c r="R693" s="33">
        <v>0</v>
      </c>
      <c r="S693" s="33">
        <f t="shared" si="271"/>
        <v>19439.36</v>
      </c>
    </row>
    <row r="694" spans="1:26" x14ac:dyDescent="0.25">
      <c r="A694" s="172"/>
      <c r="B694" s="173"/>
      <c r="C694" s="89" t="s">
        <v>307</v>
      </c>
      <c r="D694" s="157"/>
      <c r="E694" s="157"/>
      <c r="F694" s="160"/>
      <c r="G694" s="143">
        <v>1330089218</v>
      </c>
      <c r="H694" s="141">
        <v>240</v>
      </c>
      <c r="I694" s="33">
        <v>0</v>
      </c>
      <c r="J694" s="33">
        <v>0</v>
      </c>
      <c r="K694" s="33">
        <v>0</v>
      </c>
      <c r="L694" s="33">
        <v>0</v>
      </c>
      <c r="M694" s="33">
        <v>0</v>
      </c>
      <c r="N694" s="88">
        <v>8026.11</v>
      </c>
      <c r="O694" s="88">
        <v>0</v>
      </c>
      <c r="P694" s="33">
        <v>0</v>
      </c>
      <c r="Q694" s="33">
        <v>0</v>
      </c>
      <c r="R694" s="33">
        <v>0</v>
      </c>
      <c r="S694" s="33">
        <f t="shared" si="271"/>
        <v>8026.11</v>
      </c>
    </row>
    <row r="695" spans="1:26" x14ac:dyDescent="0.25">
      <c r="A695" s="172"/>
      <c r="B695" s="173"/>
      <c r="C695" s="89" t="s">
        <v>319</v>
      </c>
      <c r="D695" s="157"/>
      <c r="E695" s="157"/>
      <c r="F695" s="160"/>
      <c r="G695" s="143">
        <v>1330089228</v>
      </c>
      <c r="H695" s="141">
        <v>240</v>
      </c>
      <c r="I695" s="33">
        <v>0</v>
      </c>
      <c r="J695" s="33">
        <v>0</v>
      </c>
      <c r="K695" s="33">
        <v>0</v>
      </c>
      <c r="L695" s="33">
        <v>0</v>
      </c>
      <c r="M695" s="33">
        <v>0</v>
      </c>
      <c r="N695" s="88">
        <v>0</v>
      </c>
      <c r="O695" s="88">
        <f>7436.45-99.168</f>
        <v>7337.2820000000002</v>
      </c>
      <c r="P695" s="33">
        <v>0</v>
      </c>
      <c r="Q695" s="33">
        <v>0</v>
      </c>
      <c r="R695" s="33">
        <v>0</v>
      </c>
      <c r="S695" s="33">
        <f t="shared" si="271"/>
        <v>7337.2820000000002</v>
      </c>
    </row>
    <row r="696" spans="1:26" ht="18" customHeight="1" x14ac:dyDescent="0.25">
      <c r="A696" s="172"/>
      <c r="B696" s="173"/>
      <c r="C696" s="89" t="s">
        <v>339</v>
      </c>
      <c r="D696" s="157"/>
      <c r="E696" s="157"/>
      <c r="F696" s="160"/>
      <c r="G696" s="143">
        <v>1330089338</v>
      </c>
      <c r="H696" s="141">
        <v>240</v>
      </c>
      <c r="I696" s="33">
        <v>0</v>
      </c>
      <c r="J696" s="33">
        <v>0</v>
      </c>
      <c r="K696" s="33">
        <v>0</v>
      </c>
      <c r="L696" s="33">
        <v>0</v>
      </c>
      <c r="M696" s="33">
        <v>0</v>
      </c>
      <c r="N696" s="88">
        <v>0</v>
      </c>
      <c r="O696" s="88">
        <v>0</v>
      </c>
      <c r="P696" s="33">
        <f>13000+500</f>
        <v>13500</v>
      </c>
      <c r="Q696" s="33">
        <v>0</v>
      </c>
      <c r="R696" s="33">
        <v>0</v>
      </c>
      <c r="S696" s="33">
        <f t="shared" si="271"/>
        <v>13500</v>
      </c>
    </row>
    <row r="697" spans="1:26" ht="43.5" customHeight="1" x14ac:dyDescent="0.25">
      <c r="A697" s="172"/>
      <c r="B697" s="173"/>
      <c r="C697" s="89" t="s">
        <v>340</v>
      </c>
      <c r="D697" s="158"/>
      <c r="E697" s="158"/>
      <c r="F697" s="161"/>
      <c r="G697" s="143">
        <v>1330089339</v>
      </c>
      <c r="H697" s="141">
        <v>240</v>
      </c>
      <c r="I697" s="33">
        <v>0</v>
      </c>
      <c r="J697" s="33">
        <v>0</v>
      </c>
      <c r="K697" s="33">
        <v>0</v>
      </c>
      <c r="L697" s="33">
        <v>0</v>
      </c>
      <c r="M697" s="33">
        <v>0</v>
      </c>
      <c r="N697" s="88">
        <v>0</v>
      </c>
      <c r="O697" s="88">
        <v>0</v>
      </c>
      <c r="P697" s="33">
        <f>11000+490.26</f>
        <v>11490.26</v>
      </c>
      <c r="Q697" s="33">
        <v>0</v>
      </c>
      <c r="R697" s="33">
        <v>0</v>
      </c>
      <c r="S697" s="33">
        <f t="shared" si="271"/>
        <v>11490.26</v>
      </c>
    </row>
    <row r="698" spans="1:26" ht="27.75" customHeight="1" x14ac:dyDescent="0.25">
      <c r="A698" s="172"/>
      <c r="B698" s="173"/>
      <c r="C698" s="86" t="s">
        <v>284</v>
      </c>
      <c r="D698" s="168" t="s">
        <v>20</v>
      </c>
      <c r="E698" s="166">
        <v>937</v>
      </c>
      <c r="F698" s="165" t="s">
        <v>60</v>
      </c>
      <c r="G698" s="143">
        <v>1330089209</v>
      </c>
      <c r="H698" s="141">
        <v>240</v>
      </c>
      <c r="I698" s="33">
        <v>0</v>
      </c>
      <c r="J698" s="33">
        <v>0</v>
      </c>
      <c r="K698" s="33">
        <v>0</v>
      </c>
      <c r="L698" s="33">
        <v>0</v>
      </c>
      <c r="M698" s="33">
        <v>16279.21</v>
      </c>
      <c r="N698" s="33">
        <v>0</v>
      </c>
      <c r="O698" s="33">
        <v>0</v>
      </c>
      <c r="P698" s="33">
        <v>0</v>
      </c>
      <c r="Q698" s="33">
        <v>0</v>
      </c>
      <c r="R698" s="33">
        <v>0</v>
      </c>
      <c r="S698" s="33">
        <f t="shared" si="271"/>
        <v>16279.21</v>
      </c>
    </row>
    <row r="699" spans="1:26" ht="24.75" customHeight="1" x14ac:dyDescent="0.25">
      <c r="A699" s="149"/>
      <c r="B699" s="146"/>
      <c r="C699" s="86" t="s">
        <v>297</v>
      </c>
      <c r="D699" s="168"/>
      <c r="E699" s="166"/>
      <c r="F699" s="165"/>
      <c r="G699" s="143">
        <v>1330089219</v>
      </c>
      <c r="H699" s="141">
        <v>240</v>
      </c>
      <c r="I699" s="33">
        <v>0</v>
      </c>
      <c r="J699" s="33">
        <v>0</v>
      </c>
      <c r="K699" s="33">
        <v>0</v>
      </c>
      <c r="L699" s="33">
        <v>0</v>
      </c>
      <c r="M699" s="33">
        <v>0</v>
      </c>
      <c r="N699" s="33">
        <v>4338.67</v>
      </c>
      <c r="O699" s="33">
        <v>0</v>
      </c>
      <c r="P699" s="33">
        <v>0</v>
      </c>
      <c r="Q699" s="33">
        <v>0</v>
      </c>
      <c r="R699" s="33">
        <v>0</v>
      </c>
      <c r="S699" s="33">
        <f t="shared" si="271"/>
        <v>4338.67</v>
      </c>
    </row>
    <row r="700" spans="1:26" ht="24.75" customHeight="1" x14ac:dyDescent="0.25">
      <c r="A700" s="149"/>
      <c r="B700" s="146"/>
      <c r="C700" s="86" t="s">
        <v>320</v>
      </c>
      <c r="D700" s="168"/>
      <c r="E700" s="166"/>
      <c r="F700" s="165"/>
      <c r="G700" s="143">
        <v>1330089229</v>
      </c>
      <c r="H700" s="141">
        <v>240</v>
      </c>
      <c r="I700" s="33">
        <v>0</v>
      </c>
      <c r="J700" s="33">
        <v>0</v>
      </c>
      <c r="K700" s="33">
        <v>0</v>
      </c>
      <c r="L700" s="33">
        <v>0</v>
      </c>
      <c r="M700" s="33">
        <v>0</v>
      </c>
      <c r="N700" s="33">
        <v>0</v>
      </c>
      <c r="O700" s="33">
        <v>2800.84</v>
      </c>
      <c r="P700" s="33">
        <v>0</v>
      </c>
      <c r="Q700" s="33">
        <v>0</v>
      </c>
      <c r="R700" s="33">
        <v>0</v>
      </c>
      <c r="S700" s="33">
        <f t="shared" si="271"/>
        <v>2800.84</v>
      </c>
    </row>
    <row r="701" spans="1:26" ht="56.25" x14ac:dyDescent="0.25">
      <c r="A701" s="149">
        <v>19</v>
      </c>
      <c r="B701" s="146" t="s">
        <v>204</v>
      </c>
      <c r="C701" s="150" t="s">
        <v>216</v>
      </c>
      <c r="D701" s="150" t="s">
        <v>232</v>
      </c>
      <c r="E701" s="141">
        <v>900</v>
      </c>
      <c r="F701" s="142" t="s">
        <v>60</v>
      </c>
      <c r="G701" s="141">
        <v>1390081280</v>
      </c>
      <c r="H701" s="141">
        <v>620</v>
      </c>
      <c r="I701" s="33">
        <v>8775.2199999999993</v>
      </c>
      <c r="J701" s="33">
        <v>0</v>
      </c>
      <c r="K701" s="33">
        <v>0</v>
      </c>
      <c r="L701" s="33">
        <v>0</v>
      </c>
      <c r="M701" s="33">
        <v>0</v>
      </c>
      <c r="N701" s="33">
        <v>0</v>
      </c>
      <c r="O701" s="33">
        <v>0</v>
      </c>
      <c r="P701" s="33">
        <v>0</v>
      </c>
      <c r="Q701" s="33">
        <v>0</v>
      </c>
      <c r="R701" s="33">
        <v>0</v>
      </c>
      <c r="S701" s="33">
        <f>SUM(I701:R701)</f>
        <v>8775.2199999999993</v>
      </c>
      <c r="T701" s="35"/>
      <c r="U701" s="35"/>
      <c r="V701" s="35"/>
      <c r="Z701" s="35"/>
    </row>
    <row r="702" spans="1:26" ht="35.25" customHeight="1" x14ac:dyDescent="0.25">
      <c r="A702" s="172">
        <v>20</v>
      </c>
      <c r="B702" s="173" t="s">
        <v>205</v>
      </c>
      <c r="C702" s="171" t="s">
        <v>273</v>
      </c>
      <c r="D702" s="140" t="s">
        <v>10</v>
      </c>
      <c r="E702" s="141" t="s">
        <v>74</v>
      </c>
      <c r="F702" s="142" t="s">
        <v>74</v>
      </c>
      <c r="G702" s="143" t="s">
        <v>74</v>
      </c>
      <c r="H702" s="141" t="s">
        <v>74</v>
      </c>
      <c r="I702" s="33">
        <f>I703</f>
        <v>116870.21999999999</v>
      </c>
      <c r="J702" s="33">
        <f>J703</f>
        <v>0</v>
      </c>
      <c r="K702" s="33">
        <f>K703</f>
        <v>42650.324990000001</v>
      </c>
      <c r="L702" s="33">
        <f>L703</f>
        <v>80898.570000000007</v>
      </c>
      <c r="M702" s="33">
        <f>M706</f>
        <v>5788.9</v>
      </c>
      <c r="N702" s="33">
        <f>N703+N706</f>
        <v>103510.02</v>
      </c>
      <c r="O702" s="33">
        <f>O703+O706</f>
        <v>120224.28599999999</v>
      </c>
      <c r="P702" s="33">
        <f>P703+P706</f>
        <v>100000</v>
      </c>
      <c r="Q702" s="33">
        <f>Q703+Q706</f>
        <v>100000</v>
      </c>
      <c r="R702" s="33">
        <f>R703+R706</f>
        <v>100000</v>
      </c>
      <c r="S702" s="33">
        <f>SUM(I702:R702)</f>
        <v>769942.32099000004</v>
      </c>
      <c r="T702" s="35"/>
      <c r="U702" s="35"/>
      <c r="V702" s="35"/>
      <c r="Z702" s="35"/>
    </row>
    <row r="703" spans="1:26" ht="32.25" customHeight="1" x14ac:dyDescent="0.25">
      <c r="A703" s="172"/>
      <c r="B703" s="173"/>
      <c r="C703" s="171"/>
      <c r="D703" s="168" t="s">
        <v>13</v>
      </c>
      <c r="E703" s="165" t="s">
        <v>53</v>
      </c>
      <c r="F703" s="165" t="s">
        <v>74</v>
      </c>
      <c r="G703" s="143">
        <v>1390083120</v>
      </c>
      <c r="H703" s="141" t="s">
        <v>74</v>
      </c>
      <c r="I703" s="33">
        <f t="shared" ref="I703:O703" si="275">I707+I709+I711+I715+I717+I719+I721</f>
        <v>116870.21999999999</v>
      </c>
      <c r="J703" s="33">
        <f t="shared" si="275"/>
        <v>0</v>
      </c>
      <c r="K703" s="33">
        <f t="shared" si="275"/>
        <v>42650.324990000001</v>
      </c>
      <c r="L703" s="33">
        <f t="shared" si="275"/>
        <v>80898.570000000007</v>
      </c>
      <c r="M703" s="33">
        <f t="shared" si="275"/>
        <v>0</v>
      </c>
      <c r="N703" s="33">
        <f t="shared" si="275"/>
        <v>0</v>
      </c>
      <c r="O703" s="33">
        <f t="shared" si="275"/>
        <v>0</v>
      </c>
      <c r="P703" s="33">
        <f>P707+P709+P711+P715+P717+P719+P721</f>
        <v>0</v>
      </c>
      <c r="Q703" s="33">
        <f>Q707+Q709+Q711+Q715+Q717+Q719+Q721</f>
        <v>0</v>
      </c>
      <c r="R703" s="33">
        <v>0</v>
      </c>
      <c r="S703" s="33">
        <f t="shared" si="271"/>
        <v>240419.11499</v>
      </c>
      <c r="T703" s="35"/>
      <c r="U703" s="35"/>
      <c r="V703" s="35"/>
      <c r="Z703" s="35"/>
    </row>
    <row r="704" spans="1:26" ht="23.25" customHeight="1" x14ac:dyDescent="0.25">
      <c r="A704" s="172"/>
      <c r="B704" s="173"/>
      <c r="C704" s="171"/>
      <c r="D704" s="168"/>
      <c r="E704" s="165"/>
      <c r="F704" s="165"/>
      <c r="G704" s="143">
        <v>1390083120</v>
      </c>
      <c r="H704" s="141">
        <v>240</v>
      </c>
      <c r="I704" s="33">
        <f t="shared" ref="I704:Q704" si="276">I703-I705</f>
        <v>116208.54999999999</v>
      </c>
      <c r="J704" s="33">
        <f t="shared" si="276"/>
        <v>0</v>
      </c>
      <c r="K704" s="33">
        <f t="shared" si="276"/>
        <v>42650.324990000001</v>
      </c>
      <c r="L704" s="33">
        <f t="shared" si="276"/>
        <v>80898.570000000007</v>
      </c>
      <c r="M704" s="33">
        <f t="shared" si="276"/>
        <v>0</v>
      </c>
      <c r="N704" s="33">
        <f t="shared" si="276"/>
        <v>0</v>
      </c>
      <c r="O704" s="33">
        <f t="shared" si="276"/>
        <v>0</v>
      </c>
      <c r="P704" s="33">
        <f t="shared" si="276"/>
        <v>0</v>
      </c>
      <c r="Q704" s="33">
        <f t="shared" si="276"/>
        <v>0</v>
      </c>
      <c r="R704" s="33">
        <v>0</v>
      </c>
      <c r="S704" s="33">
        <f t="shared" si="271"/>
        <v>239757.44498999999</v>
      </c>
      <c r="T704" s="35"/>
      <c r="U704" s="35"/>
      <c r="V704" s="35"/>
      <c r="Z704" s="35"/>
    </row>
    <row r="705" spans="1:26" ht="19.5" customHeight="1" x14ac:dyDescent="0.25">
      <c r="A705" s="172"/>
      <c r="B705" s="173"/>
      <c r="C705" s="171"/>
      <c r="D705" s="168"/>
      <c r="E705" s="165"/>
      <c r="F705" s="165"/>
      <c r="G705" s="143">
        <v>1390083120</v>
      </c>
      <c r="H705" s="141">
        <v>830</v>
      </c>
      <c r="I705" s="33">
        <f t="shared" ref="I705:N705" si="277">I713</f>
        <v>661.67</v>
      </c>
      <c r="J705" s="33">
        <f t="shared" si="277"/>
        <v>0</v>
      </c>
      <c r="K705" s="33">
        <f t="shared" si="277"/>
        <v>0</v>
      </c>
      <c r="L705" s="33">
        <f t="shared" si="277"/>
        <v>0</v>
      </c>
      <c r="M705" s="33">
        <f t="shared" si="277"/>
        <v>0</v>
      </c>
      <c r="N705" s="33">
        <f t="shared" si="277"/>
        <v>0</v>
      </c>
      <c r="O705" s="33">
        <f>O713</f>
        <v>0</v>
      </c>
      <c r="P705" s="33">
        <f>P713</f>
        <v>0</v>
      </c>
      <c r="Q705" s="33">
        <f>Q713</f>
        <v>0</v>
      </c>
      <c r="R705" s="33">
        <v>0</v>
      </c>
      <c r="S705" s="33">
        <f t="shared" si="271"/>
        <v>661.67</v>
      </c>
      <c r="T705" s="35"/>
      <c r="U705" s="35"/>
      <c r="V705" s="35"/>
      <c r="Z705" s="35"/>
    </row>
    <row r="706" spans="1:26" ht="19.5" customHeight="1" x14ac:dyDescent="0.25">
      <c r="A706" s="172"/>
      <c r="B706" s="173"/>
      <c r="C706" s="171"/>
      <c r="D706" s="168"/>
      <c r="E706" s="165"/>
      <c r="F706" s="165"/>
      <c r="G706" s="143">
        <v>1390083320</v>
      </c>
      <c r="H706" s="141">
        <v>240</v>
      </c>
      <c r="I706" s="33">
        <v>0</v>
      </c>
      <c r="J706" s="33">
        <v>0</v>
      </c>
      <c r="K706" s="33">
        <v>0</v>
      </c>
      <c r="L706" s="33">
        <v>0</v>
      </c>
      <c r="M706" s="33">
        <v>5788.9</v>
      </c>
      <c r="N706" s="33">
        <f>N708+N710+N714+N716+N718+N720+N722</f>
        <v>103510.02</v>
      </c>
      <c r="O706" s="33">
        <f>O708+O710+O714+O716+O718+O720+O722</f>
        <v>120224.28599999999</v>
      </c>
      <c r="P706" s="33">
        <f>P708+P710+P714+P716+P718+P720+P722</f>
        <v>100000</v>
      </c>
      <c r="Q706" s="33">
        <f>Q708+Q710+Q714+Q716+Q718+Q720+Q722</f>
        <v>100000</v>
      </c>
      <c r="R706" s="33">
        <f>R708+R710+R714+R716+R718+R720+R722</f>
        <v>100000</v>
      </c>
      <c r="S706" s="33">
        <f>SUM(I706:R706)</f>
        <v>529523.20600000001</v>
      </c>
      <c r="T706" s="35"/>
      <c r="U706" s="35"/>
      <c r="V706" s="35"/>
      <c r="Z706" s="35"/>
    </row>
    <row r="707" spans="1:26" ht="26.25" customHeight="1" x14ac:dyDescent="0.25">
      <c r="A707" s="172"/>
      <c r="B707" s="173"/>
      <c r="C707" s="171"/>
      <c r="D707" s="168" t="s">
        <v>14</v>
      </c>
      <c r="E707" s="166">
        <v>919</v>
      </c>
      <c r="F707" s="142" t="s">
        <v>56</v>
      </c>
      <c r="G707" s="143">
        <v>1390083120</v>
      </c>
      <c r="H707" s="141">
        <v>240</v>
      </c>
      <c r="I707" s="33">
        <v>8664.1200000000008</v>
      </c>
      <c r="J707" s="33">
        <v>0</v>
      </c>
      <c r="K707" s="33">
        <v>4713.83</v>
      </c>
      <c r="L707" s="33">
        <v>5512.43</v>
      </c>
      <c r="M707" s="33">
        <v>0</v>
      </c>
      <c r="N707" s="33">
        <v>0</v>
      </c>
      <c r="O707" s="33">
        <v>0</v>
      </c>
      <c r="P707" s="33">
        <v>0</v>
      </c>
      <c r="Q707" s="33">
        <v>0</v>
      </c>
      <c r="R707" s="33">
        <v>0</v>
      </c>
      <c r="S707" s="33">
        <f t="shared" si="271"/>
        <v>18890.38</v>
      </c>
      <c r="T707" s="35"/>
      <c r="U707" s="35"/>
      <c r="V707" s="35"/>
      <c r="Z707" s="35"/>
    </row>
    <row r="708" spans="1:26" ht="31.5" customHeight="1" x14ac:dyDescent="0.25">
      <c r="A708" s="172"/>
      <c r="B708" s="173"/>
      <c r="C708" s="171"/>
      <c r="D708" s="168"/>
      <c r="E708" s="166"/>
      <c r="F708" s="142" t="s">
        <v>56</v>
      </c>
      <c r="G708" s="143">
        <v>1390083320</v>
      </c>
      <c r="H708" s="141">
        <v>240</v>
      </c>
      <c r="I708" s="33">
        <v>0</v>
      </c>
      <c r="J708" s="33">
        <v>0</v>
      </c>
      <c r="K708" s="33">
        <v>0</v>
      </c>
      <c r="L708" s="33">
        <v>0</v>
      </c>
      <c r="M708" s="33">
        <v>0</v>
      </c>
      <c r="N708" s="33">
        <v>11454.14</v>
      </c>
      <c r="O708" s="33">
        <f>12988+1082.846</f>
        <v>14070.846</v>
      </c>
      <c r="P708" s="33">
        <v>9900</v>
      </c>
      <c r="Q708" s="33">
        <v>9900</v>
      </c>
      <c r="R708" s="33">
        <v>9900</v>
      </c>
      <c r="S708" s="33">
        <f t="shared" si="271"/>
        <v>55224.985999999997</v>
      </c>
      <c r="T708" s="35"/>
      <c r="U708" s="35"/>
      <c r="V708" s="35"/>
      <c r="Z708" s="35"/>
    </row>
    <row r="709" spans="1:26" ht="32.25" customHeight="1" x14ac:dyDescent="0.25">
      <c r="A709" s="172"/>
      <c r="B709" s="173"/>
      <c r="C709" s="171"/>
      <c r="D709" s="168" t="s">
        <v>15</v>
      </c>
      <c r="E709" s="166">
        <v>922</v>
      </c>
      <c r="F709" s="142" t="s">
        <v>56</v>
      </c>
      <c r="G709" s="143">
        <v>1390083120</v>
      </c>
      <c r="H709" s="141">
        <v>240</v>
      </c>
      <c r="I709" s="33">
        <v>7519.55</v>
      </c>
      <c r="J709" s="33">
        <v>0</v>
      </c>
      <c r="K709" s="33">
        <v>5215.8999999999996</v>
      </c>
      <c r="L709" s="33">
        <v>7467.42</v>
      </c>
      <c r="M709" s="33">
        <v>0</v>
      </c>
      <c r="N709" s="33">
        <v>0</v>
      </c>
      <c r="O709" s="33">
        <v>0</v>
      </c>
      <c r="P709" s="33">
        <v>0</v>
      </c>
      <c r="Q709" s="33">
        <v>0</v>
      </c>
      <c r="R709" s="33">
        <v>0</v>
      </c>
      <c r="S709" s="33">
        <f t="shared" si="271"/>
        <v>20202.870000000003</v>
      </c>
      <c r="T709" s="35"/>
      <c r="U709" s="35"/>
      <c r="V709" s="35"/>
      <c r="Z709" s="35"/>
    </row>
    <row r="710" spans="1:26" ht="24.75" customHeight="1" x14ac:dyDescent="0.25">
      <c r="A710" s="172"/>
      <c r="B710" s="173"/>
      <c r="C710" s="171"/>
      <c r="D710" s="168"/>
      <c r="E710" s="166"/>
      <c r="F710" s="142" t="s">
        <v>56</v>
      </c>
      <c r="G710" s="143">
        <v>1390083320</v>
      </c>
      <c r="H710" s="141">
        <v>240</v>
      </c>
      <c r="I710" s="33">
        <v>0</v>
      </c>
      <c r="J710" s="33">
        <v>0</v>
      </c>
      <c r="K710" s="33">
        <v>0</v>
      </c>
      <c r="L710" s="33">
        <v>0</v>
      </c>
      <c r="M710" s="33">
        <v>5788.9</v>
      </c>
      <c r="N710" s="33">
        <v>14491.31</v>
      </c>
      <c r="O710" s="33">
        <f>14449.56+411.47</f>
        <v>14861.029999999999</v>
      </c>
      <c r="P710" s="33">
        <v>12400</v>
      </c>
      <c r="Q710" s="33">
        <v>12400</v>
      </c>
      <c r="R710" s="33">
        <v>12400</v>
      </c>
      <c r="S710" s="33">
        <f t="shared" si="271"/>
        <v>72341.239999999991</v>
      </c>
      <c r="T710" s="35"/>
      <c r="U710" s="35"/>
      <c r="V710" s="35"/>
      <c r="Z710" s="35"/>
    </row>
    <row r="711" spans="1:26" ht="30" customHeight="1" x14ac:dyDescent="0.25">
      <c r="A711" s="172"/>
      <c r="B711" s="173"/>
      <c r="C711" s="171"/>
      <c r="D711" s="168" t="s">
        <v>16</v>
      </c>
      <c r="E711" s="166">
        <v>925</v>
      </c>
      <c r="F711" s="142" t="s">
        <v>56</v>
      </c>
      <c r="G711" s="143">
        <v>1390083120</v>
      </c>
      <c r="H711" s="141" t="s">
        <v>74</v>
      </c>
      <c r="I711" s="33">
        <f>I712+I713</f>
        <v>17094.259999999998</v>
      </c>
      <c r="J711" s="33">
        <f>J712+J713</f>
        <v>0</v>
      </c>
      <c r="K711" s="33">
        <f>K712</f>
        <v>4530.3900000000003</v>
      </c>
      <c r="L711" s="33">
        <f>L712</f>
        <v>11856</v>
      </c>
      <c r="M711" s="33">
        <v>0</v>
      </c>
      <c r="N711" s="33">
        <v>0</v>
      </c>
      <c r="O711" s="33">
        <v>0</v>
      </c>
      <c r="P711" s="33">
        <v>0</v>
      </c>
      <c r="Q711" s="33">
        <v>0</v>
      </c>
      <c r="R711" s="33">
        <v>0</v>
      </c>
      <c r="S711" s="33">
        <f t="shared" si="271"/>
        <v>33480.649999999994</v>
      </c>
      <c r="T711" s="35"/>
      <c r="U711" s="35"/>
      <c r="V711" s="35"/>
      <c r="Z711" s="35"/>
    </row>
    <row r="712" spans="1:26" ht="21.75" customHeight="1" x14ac:dyDescent="0.25">
      <c r="A712" s="172"/>
      <c r="B712" s="173"/>
      <c r="C712" s="171"/>
      <c r="D712" s="168"/>
      <c r="E712" s="166"/>
      <c r="F712" s="142" t="s">
        <v>56</v>
      </c>
      <c r="G712" s="143">
        <v>1390083120</v>
      </c>
      <c r="H712" s="141">
        <v>240</v>
      </c>
      <c r="I712" s="33">
        <v>16432.59</v>
      </c>
      <c r="J712" s="33">
        <v>0</v>
      </c>
      <c r="K712" s="33">
        <v>4530.3900000000003</v>
      </c>
      <c r="L712" s="33">
        <v>11856</v>
      </c>
      <c r="M712" s="33">
        <v>0</v>
      </c>
      <c r="N712" s="33">
        <v>0</v>
      </c>
      <c r="O712" s="33">
        <v>0</v>
      </c>
      <c r="P712" s="33">
        <v>0</v>
      </c>
      <c r="Q712" s="33">
        <v>0</v>
      </c>
      <c r="R712" s="33">
        <v>0</v>
      </c>
      <c r="S712" s="33">
        <f t="shared" si="271"/>
        <v>32818.979999999996</v>
      </c>
      <c r="T712" s="35"/>
      <c r="U712" s="35"/>
      <c r="V712" s="35"/>
      <c r="Z712" s="35"/>
    </row>
    <row r="713" spans="1:26" ht="21.75" customHeight="1" x14ac:dyDescent="0.25">
      <c r="A713" s="172"/>
      <c r="B713" s="173"/>
      <c r="C713" s="171"/>
      <c r="D713" s="168"/>
      <c r="E713" s="166"/>
      <c r="F713" s="142" t="s">
        <v>56</v>
      </c>
      <c r="G713" s="143">
        <v>1390083120</v>
      </c>
      <c r="H713" s="141">
        <v>830</v>
      </c>
      <c r="I713" s="33">
        <v>661.67</v>
      </c>
      <c r="J713" s="33">
        <v>0</v>
      </c>
      <c r="K713" s="33">
        <v>0</v>
      </c>
      <c r="L713" s="33">
        <v>0</v>
      </c>
      <c r="M713" s="33">
        <v>0</v>
      </c>
      <c r="N713" s="33">
        <v>0</v>
      </c>
      <c r="O713" s="33">
        <v>0</v>
      </c>
      <c r="P713" s="33">
        <v>0</v>
      </c>
      <c r="Q713" s="33">
        <v>0</v>
      </c>
      <c r="R713" s="33">
        <v>0</v>
      </c>
      <c r="S713" s="33">
        <f t="shared" si="271"/>
        <v>661.67</v>
      </c>
      <c r="T713" s="35"/>
      <c r="U713" s="35"/>
      <c r="V713" s="35"/>
      <c r="Z713" s="35"/>
    </row>
    <row r="714" spans="1:26" ht="21.75" customHeight="1" x14ac:dyDescent="0.25">
      <c r="A714" s="172"/>
      <c r="B714" s="173"/>
      <c r="C714" s="171"/>
      <c r="D714" s="168"/>
      <c r="E714" s="166"/>
      <c r="F714" s="142" t="s">
        <v>56</v>
      </c>
      <c r="G714" s="143">
        <v>1390083320</v>
      </c>
      <c r="H714" s="141">
        <v>240</v>
      </c>
      <c r="I714" s="33">
        <v>0</v>
      </c>
      <c r="J714" s="33">
        <v>0</v>
      </c>
      <c r="K714" s="33">
        <v>0</v>
      </c>
      <c r="L714" s="33">
        <v>0</v>
      </c>
      <c r="M714" s="33">
        <v>0</v>
      </c>
      <c r="N714" s="33">
        <v>13467.97</v>
      </c>
      <c r="O714" s="33">
        <v>13470</v>
      </c>
      <c r="P714" s="33">
        <v>14700</v>
      </c>
      <c r="Q714" s="33">
        <v>14700</v>
      </c>
      <c r="R714" s="33">
        <v>14700</v>
      </c>
      <c r="S714" s="33">
        <f t="shared" si="271"/>
        <v>71037.97</v>
      </c>
      <c r="T714" s="35"/>
      <c r="U714" s="35"/>
      <c r="V714" s="35"/>
      <c r="Z714" s="35"/>
    </row>
    <row r="715" spans="1:26" ht="22.5" customHeight="1" x14ac:dyDescent="0.25">
      <c r="A715" s="172"/>
      <c r="B715" s="173"/>
      <c r="C715" s="171"/>
      <c r="D715" s="168" t="s">
        <v>17</v>
      </c>
      <c r="E715" s="166">
        <v>928</v>
      </c>
      <c r="F715" s="142" t="s">
        <v>56</v>
      </c>
      <c r="G715" s="143">
        <v>1390083120</v>
      </c>
      <c r="H715" s="141">
        <v>240</v>
      </c>
      <c r="I715" s="33">
        <v>16011.02</v>
      </c>
      <c r="J715" s="33">
        <v>0</v>
      </c>
      <c r="K715" s="33">
        <f>8931.34-3531.2</f>
        <v>5400.14</v>
      </c>
      <c r="L715" s="33">
        <v>15129.84</v>
      </c>
      <c r="M715" s="33">
        <v>0</v>
      </c>
      <c r="N715" s="33">
        <v>0</v>
      </c>
      <c r="O715" s="33">
        <v>0</v>
      </c>
      <c r="P715" s="33">
        <v>0</v>
      </c>
      <c r="Q715" s="33">
        <v>0</v>
      </c>
      <c r="R715" s="33">
        <v>0</v>
      </c>
      <c r="S715" s="33">
        <f t="shared" si="271"/>
        <v>36541</v>
      </c>
      <c r="T715" s="35"/>
      <c r="U715" s="35"/>
      <c r="V715" s="35"/>
      <c r="Z715" s="35"/>
    </row>
    <row r="716" spans="1:26" ht="37.5" customHeight="1" x14ac:dyDescent="0.25">
      <c r="A716" s="172"/>
      <c r="B716" s="173"/>
      <c r="C716" s="171"/>
      <c r="D716" s="168"/>
      <c r="E716" s="166"/>
      <c r="F716" s="142" t="s">
        <v>56</v>
      </c>
      <c r="G716" s="143">
        <v>1390083320</v>
      </c>
      <c r="H716" s="141">
        <v>240</v>
      </c>
      <c r="I716" s="33">
        <v>0</v>
      </c>
      <c r="J716" s="33">
        <v>0</v>
      </c>
      <c r="K716" s="33">
        <v>0</v>
      </c>
      <c r="L716" s="33">
        <v>0</v>
      </c>
      <c r="M716" s="33">
        <v>0</v>
      </c>
      <c r="N716" s="33">
        <v>6272.4</v>
      </c>
      <c r="O716" s="33">
        <v>8931.34</v>
      </c>
      <c r="P716" s="33">
        <v>17900</v>
      </c>
      <c r="Q716" s="33">
        <v>17900</v>
      </c>
      <c r="R716" s="33">
        <v>17900</v>
      </c>
      <c r="S716" s="33">
        <f t="shared" si="271"/>
        <v>68903.739999999991</v>
      </c>
      <c r="T716" s="35"/>
      <c r="U716" s="35"/>
      <c r="V716" s="35"/>
      <c r="Z716" s="35"/>
    </row>
    <row r="717" spans="1:26" ht="25.5" customHeight="1" x14ac:dyDescent="0.25">
      <c r="A717" s="172"/>
      <c r="B717" s="173"/>
      <c r="C717" s="171"/>
      <c r="D717" s="168" t="s">
        <v>18</v>
      </c>
      <c r="E717" s="166">
        <v>931</v>
      </c>
      <c r="F717" s="142" t="s">
        <v>56</v>
      </c>
      <c r="G717" s="143">
        <v>1390083120</v>
      </c>
      <c r="H717" s="141">
        <v>240</v>
      </c>
      <c r="I717" s="33">
        <v>16739.54</v>
      </c>
      <c r="J717" s="33">
        <v>0</v>
      </c>
      <c r="K717" s="33">
        <f>6739.88-2528.74501</f>
        <v>4211.1349900000005</v>
      </c>
      <c r="L717" s="33">
        <v>6739.88</v>
      </c>
      <c r="M717" s="33">
        <v>0</v>
      </c>
      <c r="N717" s="33">
        <v>0</v>
      </c>
      <c r="O717" s="33">
        <v>0</v>
      </c>
      <c r="P717" s="33">
        <v>0</v>
      </c>
      <c r="Q717" s="33">
        <v>0</v>
      </c>
      <c r="R717" s="33">
        <v>0</v>
      </c>
      <c r="S717" s="33">
        <f t="shared" si="271"/>
        <v>27690.554990000001</v>
      </c>
      <c r="T717" s="35"/>
      <c r="U717" s="35"/>
      <c r="V717" s="35"/>
      <c r="Z717" s="35"/>
    </row>
    <row r="718" spans="1:26" ht="36.75" customHeight="1" x14ac:dyDescent="0.25">
      <c r="A718" s="172"/>
      <c r="B718" s="173"/>
      <c r="C718" s="171"/>
      <c r="D718" s="168"/>
      <c r="E718" s="166"/>
      <c r="F718" s="142" t="s">
        <v>56</v>
      </c>
      <c r="G718" s="143">
        <v>1390083320</v>
      </c>
      <c r="H718" s="141">
        <v>240</v>
      </c>
      <c r="I718" s="33">
        <v>0</v>
      </c>
      <c r="J718" s="33">
        <v>0</v>
      </c>
      <c r="K718" s="33">
        <v>0</v>
      </c>
      <c r="L718" s="33">
        <v>0</v>
      </c>
      <c r="M718" s="33">
        <v>0</v>
      </c>
      <c r="N718" s="33">
        <v>15458.87</v>
      </c>
      <c r="O718" s="33">
        <f>16198.97+1619.89+600</f>
        <v>18418.86</v>
      </c>
      <c r="P718" s="33">
        <v>14000</v>
      </c>
      <c r="Q718" s="33">
        <v>14000</v>
      </c>
      <c r="R718" s="33">
        <v>14000</v>
      </c>
      <c r="S718" s="33">
        <f t="shared" si="271"/>
        <v>75877.73000000001</v>
      </c>
      <c r="T718" s="35"/>
      <c r="U718" s="35"/>
      <c r="V718" s="35"/>
      <c r="Z718" s="35"/>
    </row>
    <row r="719" spans="1:26" ht="23.25" customHeight="1" x14ac:dyDescent="0.25">
      <c r="A719" s="172"/>
      <c r="B719" s="173"/>
      <c r="C719" s="171"/>
      <c r="D719" s="168" t="s">
        <v>19</v>
      </c>
      <c r="E719" s="166">
        <v>934</v>
      </c>
      <c r="F719" s="142" t="s">
        <v>56</v>
      </c>
      <c r="G719" s="143">
        <v>1390083120</v>
      </c>
      <c r="H719" s="141">
        <v>240</v>
      </c>
      <c r="I719" s="33">
        <v>36994.089999999997</v>
      </c>
      <c r="J719" s="33">
        <v>0</v>
      </c>
      <c r="K719" s="33">
        <v>14721.97</v>
      </c>
      <c r="L719" s="33">
        <v>30271.56</v>
      </c>
      <c r="M719" s="33">
        <v>0</v>
      </c>
      <c r="N719" s="33">
        <v>0</v>
      </c>
      <c r="O719" s="33">
        <v>0</v>
      </c>
      <c r="P719" s="33">
        <v>0</v>
      </c>
      <c r="Q719" s="33">
        <v>0</v>
      </c>
      <c r="R719" s="33">
        <v>0</v>
      </c>
      <c r="S719" s="33">
        <f t="shared" si="271"/>
        <v>81987.62</v>
      </c>
      <c r="T719" s="35"/>
      <c r="U719" s="35"/>
      <c r="V719" s="35"/>
      <c r="Z719" s="35"/>
    </row>
    <row r="720" spans="1:26" ht="33" customHeight="1" x14ac:dyDescent="0.25">
      <c r="A720" s="172"/>
      <c r="B720" s="173"/>
      <c r="C720" s="171"/>
      <c r="D720" s="168"/>
      <c r="E720" s="166"/>
      <c r="F720" s="142" t="s">
        <v>56</v>
      </c>
      <c r="G720" s="143">
        <v>1390083320</v>
      </c>
      <c r="H720" s="141">
        <v>240</v>
      </c>
      <c r="I720" s="33">
        <v>0</v>
      </c>
      <c r="J720" s="33">
        <v>0</v>
      </c>
      <c r="K720" s="33">
        <v>0</v>
      </c>
      <c r="L720" s="33">
        <v>0</v>
      </c>
      <c r="M720" s="33">
        <v>0</v>
      </c>
      <c r="N720" s="33">
        <v>31861.08</v>
      </c>
      <c r="O720" s="33">
        <f>27362.13+4044.4+7500+14741.65-10414.72</f>
        <v>43233.46</v>
      </c>
      <c r="P720" s="33">
        <v>24500</v>
      </c>
      <c r="Q720" s="33">
        <v>24500</v>
      </c>
      <c r="R720" s="33">
        <v>24500</v>
      </c>
      <c r="S720" s="33">
        <f t="shared" si="271"/>
        <v>148594.54</v>
      </c>
      <c r="T720" s="35"/>
      <c r="U720" s="35"/>
      <c r="V720" s="35"/>
      <c r="Z720" s="35"/>
    </row>
    <row r="721" spans="1:26" ht="30.75" customHeight="1" x14ac:dyDescent="0.25">
      <c r="A721" s="172"/>
      <c r="B721" s="173"/>
      <c r="C721" s="171"/>
      <c r="D721" s="168" t="s">
        <v>20</v>
      </c>
      <c r="E721" s="166">
        <v>937</v>
      </c>
      <c r="F721" s="142" t="s">
        <v>56</v>
      </c>
      <c r="G721" s="143">
        <v>1390083120</v>
      </c>
      <c r="H721" s="141">
        <v>240</v>
      </c>
      <c r="I721" s="33">
        <v>13847.64</v>
      </c>
      <c r="J721" s="33">
        <v>0</v>
      </c>
      <c r="K721" s="33">
        <v>3856.96</v>
      </c>
      <c r="L721" s="33">
        <v>3921.44</v>
      </c>
      <c r="M721" s="33">
        <v>0</v>
      </c>
      <c r="N721" s="33">
        <v>0</v>
      </c>
      <c r="O721" s="33">
        <v>0</v>
      </c>
      <c r="P721" s="33">
        <v>0</v>
      </c>
      <c r="Q721" s="33">
        <v>0</v>
      </c>
      <c r="R721" s="33">
        <v>0</v>
      </c>
      <c r="S721" s="33">
        <f t="shared" si="271"/>
        <v>21626.039999999997</v>
      </c>
      <c r="T721" s="35"/>
      <c r="U721" s="35"/>
      <c r="V721" s="35"/>
      <c r="Z721" s="35"/>
    </row>
    <row r="722" spans="1:26" ht="27.75" customHeight="1" x14ac:dyDescent="0.25">
      <c r="A722" s="172"/>
      <c r="B722" s="173"/>
      <c r="C722" s="171"/>
      <c r="D722" s="168"/>
      <c r="E722" s="166"/>
      <c r="F722" s="142" t="s">
        <v>56</v>
      </c>
      <c r="G722" s="143">
        <v>1390083320</v>
      </c>
      <c r="H722" s="141">
        <v>240</v>
      </c>
      <c r="I722" s="33">
        <v>0</v>
      </c>
      <c r="J722" s="33">
        <v>0</v>
      </c>
      <c r="K722" s="33">
        <v>0</v>
      </c>
      <c r="L722" s="33">
        <v>0</v>
      </c>
      <c r="M722" s="33">
        <v>0</v>
      </c>
      <c r="N722" s="33">
        <f>8991.75+1031.05+481.45</f>
        <v>10504.25</v>
      </c>
      <c r="O722" s="33">
        <f>6600+638.75</f>
        <v>7238.75</v>
      </c>
      <c r="P722" s="33">
        <v>6600</v>
      </c>
      <c r="Q722" s="33">
        <v>6600</v>
      </c>
      <c r="R722" s="33">
        <v>6600</v>
      </c>
      <c r="S722" s="33">
        <f t="shared" si="271"/>
        <v>37543</v>
      </c>
      <c r="T722" s="35"/>
      <c r="U722" s="35"/>
      <c r="V722" s="35"/>
      <c r="Z722" s="35"/>
    </row>
    <row r="723" spans="1:26" ht="39" customHeight="1" x14ac:dyDescent="0.25">
      <c r="A723" s="172">
        <v>21</v>
      </c>
      <c r="B723" s="173" t="s">
        <v>275</v>
      </c>
      <c r="C723" s="171" t="s">
        <v>274</v>
      </c>
      <c r="D723" s="140" t="s">
        <v>10</v>
      </c>
      <c r="E723" s="141" t="s">
        <v>74</v>
      </c>
      <c r="F723" s="142" t="s">
        <v>74</v>
      </c>
      <c r="G723" s="143">
        <v>1390083150</v>
      </c>
      <c r="H723" s="141">
        <v>240</v>
      </c>
      <c r="I723" s="33">
        <f t="shared" ref="I723:P723" si="278">I724</f>
        <v>0</v>
      </c>
      <c r="J723" s="33">
        <f t="shared" si="278"/>
        <v>0</v>
      </c>
      <c r="K723" s="33">
        <f t="shared" si="278"/>
        <v>0</v>
      </c>
      <c r="L723" s="33">
        <f t="shared" si="278"/>
        <v>0</v>
      </c>
      <c r="M723" s="33">
        <f t="shared" si="278"/>
        <v>102365.81999999999</v>
      </c>
      <c r="N723" s="33">
        <f t="shared" si="278"/>
        <v>0</v>
      </c>
      <c r="O723" s="33">
        <f t="shared" si="278"/>
        <v>0</v>
      </c>
      <c r="P723" s="33">
        <f t="shared" si="278"/>
        <v>0</v>
      </c>
      <c r="Q723" s="33">
        <v>0</v>
      </c>
      <c r="R723" s="33">
        <v>0</v>
      </c>
      <c r="S723" s="33">
        <f t="shared" ref="S723:S731" si="279">SUM(I723:R723)</f>
        <v>102365.81999999999</v>
      </c>
      <c r="T723" s="35"/>
      <c r="U723" s="35"/>
      <c r="V723" s="35"/>
      <c r="Z723" s="35"/>
    </row>
    <row r="724" spans="1:26" ht="75" x14ac:dyDescent="0.25">
      <c r="A724" s="172"/>
      <c r="B724" s="173"/>
      <c r="C724" s="171"/>
      <c r="D724" s="140" t="s">
        <v>13</v>
      </c>
      <c r="E724" s="142" t="s">
        <v>53</v>
      </c>
      <c r="F724" s="142" t="s">
        <v>74</v>
      </c>
      <c r="G724" s="143">
        <v>1390083150</v>
      </c>
      <c r="H724" s="141">
        <v>240</v>
      </c>
      <c r="I724" s="33">
        <f>I725+I726+I727+I728+I729+I730+I731</f>
        <v>0</v>
      </c>
      <c r="J724" s="33">
        <v>0</v>
      </c>
      <c r="K724" s="33">
        <f t="shared" ref="K724:P724" si="280">K725+K726+K727+K728+K729+K730+K731</f>
        <v>0</v>
      </c>
      <c r="L724" s="33">
        <f t="shared" si="280"/>
        <v>0</v>
      </c>
      <c r="M724" s="33">
        <f t="shared" si="280"/>
        <v>102365.81999999999</v>
      </c>
      <c r="N724" s="33">
        <f t="shared" si="280"/>
        <v>0</v>
      </c>
      <c r="O724" s="33">
        <f t="shared" si="280"/>
        <v>0</v>
      </c>
      <c r="P724" s="33">
        <f t="shared" si="280"/>
        <v>0</v>
      </c>
      <c r="Q724" s="33">
        <v>0</v>
      </c>
      <c r="R724" s="33">
        <v>0</v>
      </c>
      <c r="S724" s="33">
        <f t="shared" si="279"/>
        <v>102365.81999999999</v>
      </c>
      <c r="T724" s="35"/>
      <c r="U724" s="35"/>
      <c r="V724" s="35"/>
      <c r="Z724" s="35"/>
    </row>
    <row r="725" spans="1:26" ht="56.25" x14ac:dyDescent="0.25">
      <c r="A725" s="172"/>
      <c r="B725" s="173"/>
      <c r="C725" s="171"/>
      <c r="D725" s="140" t="s">
        <v>14</v>
      </c>
      <c r="E725" s="141">
        <v>919</v>
      </c>
      <c r="F725" s="142" t="s">
        <v>56</v>
      </c>
      <c r="G725" s="143">
        <v>1390083150</v>
      </c>
      <c r="H725" s="141">
        <v>240</v>
      </c>
      <c r="I725" s="33">
        <v>0</v>
      </c>
      <c r="J725" s="33">
        <v>0</v>
      </c>
      <c r="K725" s="33">
        <v>0</v>
      </c>
      <c r="L725" s="33">
        <v>0</v>
      </c>
      <c r="M725" s="33">
        <v>11111.94</v>
      </c>
      <c r="N725" s="33">
        <v>0</v>
      </c>
      <c r="O725" s="33">
        <v>0</v>
      </c>
      <c r="P725" s="33">
        <v>0</v>
      </c>
      <c r="Q725" s="33">
        <v>0</v>
      </c>
      <c r="R725" s="33">
        <v>0</v>
      </c>
      <c r="S725" s="33">
        <f t="shared" si="279"/>
        <v>11111.94</v>
      </c>
      <c r="T725" s="35"/>
      <c r="U725" s="35"/>
      <c r="V725" s="35"/>
      <c r="Z725" s="35"/>
    </row>
    <row r="726" spans="1:26" ht="56.25" x14ac:dyDescent="0.25">
      <c r="A726" s="172"/>
      <c r="B726" s="173"/>
      <c r="C726" s="171"/>
      <c r="D726" s="140" t="s">
        <v>15</v>
      </c>
      <c r="E726" s="141">
        <v>922</v>
      </c>
      <c r="F726" s="142" t="s">
        <v>56</v>
      </c>
      <c r="G726" s="143">
        <v>1390083150</v>
      </c>
      <c r="H726" s="141">
        <v>240</v>
      </c>
      <c r="I726" s="33">
        <v>0</v>
      </c>
      <c r="J726" s="33">
        <v>0</v>
      </c>
      <c r="K726" s="33">
        <v>0</v>
      </c>
      <c r="L726" s="33">
        <v>0</v>
      </c>
      <c r="M726" s="33">
        <f>14449.56+6000</f>
        <v>20449.559999999998</v>
      </c>
      <c r="N726" s="33">
        <v>0</v>
      </c>
      <c r="O726" s="33">
        <v>0</v>
      </c>
      <c r="P726" s="33">
        <v>0</v>
      </c>
      <c r="Q726" s="33">
        <v>0</v>
      </c>
      <c r="R726" s="33">
        <v>0</v>
      </c>
      <c r="S726" s="33">
        <f t="shared" si="279"/>
        <v>20449.559999999998</v>
      </c>
      <c r="T726" s="35"/>
      <c r="U726" s="35"/>
      <c r="V726" s="35"/>
      <c r="Z726" s="35"/>
    </row>
    <row r="727" spans="1:26" ht="56.25" x14ac:dyDescent="0.25">
      <c r="A727" s="172"/>
      <c r="B727" s="173"/>
      <c r="C727" s="171"/>
      <c r="D727" s="140" t="s">
        <v>16</v>
      </c>
      <c r="E727" s="141">
        <v>925</v>
      </c>
      <c r="F727" s="142" t="s">
        <v>56</v>
      </c>
      <c r="G727" s="143">
        <v>1390083150</v>
      </c>
      <c r="H727" s="141">
        <v>240</v>
      </c>
      <c r="I727" s="33">
        <v>0</v>
      </c>
      <c r="J727" s="33">
        <v>0</v>
      </c>
      <c r="K727" s="33">
        <v>0</v>
      </c>
      <c r="L727" s="33">
        <v>0</v>
      </c>
      <c r="M727" s="33">
        <v>11477.31</v>
      </c>
      <c r="N727" s="33">
        <v>0</v>
      </c>
      <c r="O727" s="33">
        <v>0</v>
      </c>
      <c r="P727" s="33">
        <v>0</v>
      </c>
      <c r="Q727" s="33">
        <v>0</v>
      </c>
      <c r="R727" s="33">
        <v>0</v>
      </c>
      <c r="S727" s="33">
        <f t="shared" si="279"/>
        <v>11477.31</v>
      </c>
      <c r="T727" s="35"/>
      <c r="U727" s="35"/>
      <c r="V727" s="35"/>
      <c r="Z727" s="35"/>
    </row>
    <row r="728" spans="1:26" ht="63" customHeight="1" x14ac:dyDescent="0.25">
      <c r="A728" s="172"/>
      <c r="B728" s="173"/>
      <c r="C728" s="171"/>
      <c r="D728" s="140" t="s">
        <v>17</v>
      </c>
      <c r="E728" s="141">
        <v>928</v>
      </c>
      <c r="F728" s="142" t="s">
        <v>56</v>
      </c>
      <c r="G728" s="143">
        <v>1390083150</v>
      </c>
      <c r="H728" s="141">
        <v>240</v>
      </c>
      <c r="I728" s="33">
        <v>0</v>
      </c>
      <c r="J728" s="33">
        <v>0</v>
      </c>
      <c r="K728" s="33">
        <v>0</v>
      </c>
      <c r="L728" s="33">
        <v>0</v>
      </c>
      <c r="M728" s="33">
        <v>8135.9</v>
      </c>
      <c r="N728" s="33">
        <v>0</v>
      </c>
      <c r="O728" s="33">
        <v>0</v>
      </c>
      <c r="P728" s="33">
        <v>0</v>
      </c>
      <c r="Q728" s="33">
        <v>0</v>
      </c>
      <c r="R728" s="33">
        <v>0</v>
      </c>
      <c r="S728" s="33">
        <f t="shared" si="279"/>
        <v>8135.9</v>
      </c>
      <c r="T728" s="35"/>
      <c r="U728" s="35"/>
      <c r="V728" s="35"/>
      <c r="Z728" s="35"/>
    </row>
    <row r="729" spans="1:26" ht="56.25" x14ac:dyDescent="0.25">
      <c r="A729" s="172"/>
      <c r="B729" s="173"/>
      <c r="C729" s="171"/>
      <c r="D729" s="140" t="s">
        <v>18</v>
      </c>
      <c r="E729" s="141">
        <v>931</v>
      </c>
      <c r="F729" s="142" t="s">
        <v>56</v>
      </c>
      <c r="G729" s="143">
        <v>1390083150</v>
      </c>
      <c r="H729" s="141">
        <v>240</v>
      </c>
      <c r="I729" s="33">
        <v>0</v>
      </c>
      <c r="J729" s="33">
        <v>0</v>
      </c>
      <c r="K729" s="33">
        <v>0</v>
      </c>
      <c r="L729" s="33">
        <v>0</v>
      </c>
      <c r="M729" s="33">
        <v>16091.44</v>
      </c>
      <c r="N729" s="33">
        <v>0</v>
      </c>
      <c r="O729" s="33">
        <v>0</v>
      </c>
      <c r="P729" s="33">
        <v>0</v>
      </c>
      <c r="Q729" s="33">
        <v>0</v>
      </c>
      <c r="R729" s="33">
        <v>0</v>
      </c>
      <c r="S729" s="33">
        <f t="shared" si="279"/>
        <v>16091.44</v>
      </c>
      <c r="T729" s="35"/>
      <c r="U729" s="35"/>
      <c r="V729" s="35"/>
      <c r="Z729" s="35"/>
    </row>
    <row r="730" spans="1:26" ht="56.25" x14ac:dyDescent="0.25">
      <c r="A730" s="172"/>
      <c r="B730" s="173"/>
      <c r="C730" s="171"/>
      <c r="D730" s="140" t="s">
        <v>19</v>
      </c>
      <c r="E730" s="141">
        <v>934</v>
      </c>
      <c r="F730" s="142" t="s">
        <v>56</v>
      </c>
      <c r="G730" s="143">
        <v>1390083150</v>
      </c>
      <c r="H730" s="141">
        <v>240</v>
      </c>
      <c r="I730" s="33">
        <v>0</v>
      </c>
      <c r="J730" s="33">
        <v>0</v>
      </c>
      <c r="K730" s="33">
        <v>0</v>
      </c>
      <c r="L730" s="33">
        <v>0</v>
      </c>
      <c r="M730" s="33">
        <v>28499.67</v>
      </c>
      <c r="N730" s="33">
        <v>0</v>
      </c>
      <c r="O730" s="33">
        <v>0</v>
      </c>
      <c r="P730" s="33">
        <v>0</v>
      </c>
      <c r="Q730" s="33">
        <v>0</v>
      </c>
      <c r="R730" s="33">
        <v>0</v>
      </c>
      <c r="S730" s="33">
        <f t="shared" si="279"/>
        <v>28499.67</v>
      </c>
      <c r="T730" s="35"/>
      <c r="U730" s="35"/>
      <c r="V730" s="35"/>
      <c r="Z730" s="35"/>
    </row>
    <row r="731" spans="1:26" ht="56.25" x14ac:dyDescent="0.25">
      <c r="A731" s="172"/>
      <c r="B731" s="173"/>
      <c r="C731" s="171"/>
      <c r="D731" s="140" t="s">
        <v>20</v>
      </c>
      <c r="E731" s="141">
        <v>937</v>
      </c>
      <c r="F731" s="142" t="s">
        <v>56</v>
      </c>
      <c r="G731" s="143">
        <v>1390083150</v>
      </c>
      <c r="H731" s="141">
        <v>240</v>
      </c>
      <c r="I731" s="33">
        <v>0</v>
      </c>
      <c r="J731" s="33">
        <v>0</v>
      </c>
      <c r="K731" s="33">
        <v>0</v>
      </c>
      <c r="L731" s="33">
        <v>0</v>
      </c>
      <c r="M731" s="33">
        <v>6600</v>
      </c>
      <c r="N731" s="33">
        <v>0</v>
      </c>
      <c r="O731" s="33">
        <v>0</v>
      </c>
      <c r="P731" s="33">
        <v>0</v>
      </c>
      <c r="Q731" s="33">
        <v>0</v>
      </c>
      <c r="R731" s="33">
        <v>0</v>
      </c>
      <c r="S731" s="33">
        <f t="shared" si="279"/>
        <v>6600</v>
      </c>
      <c r="T731" s="35"/>
      <c r="U731" s="35"/>
      <c r="V731" s="35"/>
      <c r="Z731" s="35"/>
    </row>
  </sheetData>
  <mergeCells count="547">
    <mergeCell ref="D497:D500"/>
    <mergeCell ref="E497:E500"/>
    <mergeCell ref="F497:F500"/>
    <mergeCell ref="H497:H500"/>
    <mergeCell ref="A473:A476"/>
    <mergeCell ref="B473:B476"/>
    <mergeCell ref="D473:D484"/>
    <mergeCell ref="E473:E484"/>
    <mergeCell ref="F473:F484"/>
    <mergeCell ref="H473:H476"/>
    <mergeCell ref="H477:H480"/>
    <mergeCell ref="H481:H484"/>
    <mergeCell ref="A485:A488"/>
    <mergeCell ref="B485:B488"/>
    <mergeCell ref="D485:D496"/>
    <mergeCell ref="E485:E496"/>
    <mergeCell ref="F485:F496"/>
    <mergeCell ref="H485:H488"/>
    <mergeCell ref="H489:H492"/>
    <mergeCell ref="H493:H496"/>
    <mergeCell ref="AV445:AV448"/>
    <mergeCell ref="A457:A460"/>
    <mergeCell ref="B457:B460"/>
    <mergeCell ref="D457:D460"/>
    <mergeCell ref="E457:E460"/>
    <mergeCell ref="F457:F460"/>
    <mergeCell ref="A461:A464"/>
    <mergeCell ref="B461:B464"/>
    <mergeCell ref="D461:D472"/>
    <mergeCell ref="E461:E472"/>
    <mergeCell ref="F461:F472"/>
    <mergeCell ref="H457:H460"/>
    <mergeCell ref="H461:H464"/>
    <mergeCell ref="H465:H468"/>
    <mergeCell ref="H469:H472"/>
    <mergeCell ref="C395:C416"/>
    <mergeCell ref="D399:D400"/>
    <mergeCell ref="E399:E400"/>
    <mergeCell ref="F399:F400"/>
    <mergeCell ref="D401:D403"/>
    <mergeCell ref="E401:E403"/>
    <mergeCell ref="F401:F403"/>
    <mergeCell ref="D405:D407"/>
    <mergeCell ref="E405:E407"/>
    <mergeCell ref="F405:F407"/>
    <mergeCell ref="D408:D410"/>
    <mergeCell ref="E408:E410"/>
    <mergeCell ref="F408:F410"/>
    <mergeCell ref="D411:D413"/>
    <mergeCell ref="E411:E413"/>
    <mergeCell ref="F411:F413"/>
    <mergeCell ref="D414:D416"/>
    <mergeCell ref="E414:E416"/>
    <mergeCell ref="F414:F416"/>
    <mergeCell ref="E357:E359"/>
    <mergeCell ref="F357:F359"/>
    <mergeCell ref="D361:D363"/>
    <mergeCell ref="E361:E363"/>
    <mergeCell ref="F361:F363"/>
    <mergeCell ref="D364:D366"/>
    <mergeCell ref="E364:E366"/>
    <mergeCell ref="F364:F366"/>
    <mergeCell ref="D367:D369"/>
    <mergeCell ref="E367:E369"/>
    <mergeCell ref="H433:H436"/>
    <mergeCell ref="H437:H440"/>
    <mergeCell ref="H441:H444"/>
    <mergeCell ref="D445:D456"/>
    <mergeCell ref="E445:E456"/>
    <mergeCell ref="F445:F456"/>
    <mergeCell ref="H445:H448"/>
    <mergeCell ref="H449:H452"/>
    <mergeCell ref="H453:H456"/>
    <mergeCell ref="D433:D444"/>
    <mergeCell ref="E433:E444"/>
    <mergeCell ref="F433:F444"/>
    <mergeCell ref="H421:H424"/>
    <mergeCell ref="H425:H428"/>
    <mergeCell ref="D429:D432"/>
    <mergeCell ref="E429:E432"/>
    <mergeCell ref="F429:F432"/>
    <mergeCell ref="H429:H432"/>
    <mergeCell ref="D421:D424"/>
    <mergeCell ref="E421:E424"/>
    <mergeCell ref="F421:F424"/>
    <mergeCell ref="D425:D428"/>
    <mergeCell ref="E425:E428"/>
    <mergeCell ref="F425:F428"/>
    <mergeCell ref="D417:D420"/>
    <mergeCell ref="E417:E420"/>
    <mergeCell ref="F417:F420"/>
    <mergeCell ref="F367:F369"/>
    <mergeCell ref="D370:D372"/>
    <mergeCell ref="E370:E372"/>
    <mergeCell ref="F370:F372"/>
    <mergeCell ref="D379:D381"/>
    <mergeCell ref="E379:E381"/>
    <mergeCell ref="F379:F381"/>
    <mergeCell ref="D383:D385"/>
    <mergeCell ref="E383:E385"/>
    <mergeCell ref="F383:F385"/>
    <mergeCell ref="D386:D388"/>
    <mergeCell ref="E386:E388"/>
    <mergeCell ref="F386:F388"/>
    <mergeCell ref="D389:D391"/>
    <mergeCell ref="E389:E391"/>
    <mergeCell ref="F389:F391"/>
    <mergeCell ref="D392:D394"/>
    <mergeCell ref="E392:E394"/>
    <mergeCell ref="F392:F394"/>
    <mergeCell ref="A622:A626"/>
    <mergeCell ref="B622:B626"/>
    <mergeCell ref="C623:C624"/>
    <mergeCell ref="C625:C626"/>
    <mergeCell ref="B620:B621"/>
    <mergeCell ref="B598:B611"/>
    <mergeCell ref="C586:C587"/>
    <mergeCell ref="A373:A392"/>
    <mergeCell ref="C650:C651"/>
    <mergeCell ref="B425:B428"/>
    <mergeCell ref="A429:A432"/>
    <mergeCell ref="B429:B432"/>
    <mergeCell ref="A441:A444"/>
    <mergeCell ref="B441:B444"/>
    <mergeCell ref="A445:A448"/>
    <mergeCell ref="B445:B448"/>
    <mergeCell ref="A497:A500"/>
    <mergeCell ref="B497:B500"/>
    <mergeCell ref="C519:C524"/>
    <mergeCell ref="C573:C574"/>
    <mergeCell ref="C570:C571"/>
    <mergeCell ref="C528:C532"/>
    <mergeCell ref="C373:C394"/>
    <mergeCell ref="A395:A414"/>
    <mergeCell ref="A652:A660"/>
    <mergeCell ref="C661:C662"/>
    <mergeCell ref="F663:F669"/>
    <mergeCell ref="F690:F697"/>
    <mergeCell ref="D686:D689"/>
    <mergeCell ref="E686:E689"/>
    <mergeCell ref="F686:F689"/>
    <mergeCell ref="D677:D685"/>
    <mergeCell ref="E677:E685"/>
    <mergeCell ref="F677:F685"/>
    <mergeCell ref="E690:E697"/>
    <mergeCell ref="H271:H274"/>
    <mergeCell ref="D670:D676"/>
    <mergeCell ref="E670:E676"/>
    <mergeCell ref="F670:F676"/>
    <mergeCell ref="F507:F509"/>
    <mergeCell ref="E504:E506"/>
    <mergeCell ref="F504:F506"/>
    <mergeCell ref="G504:G506"/>
    <mergeCell ref="F335:F346"/>
    <mergeCell ref="D636:D639"/>
    <mergeCell ref="F275:F278"/>
    <mergeCell ref="F295:F306"/>
    <mergeCell ref="F307:F310"/>
    <mergeCell ref="E529:E532"/>
    <mergeCell ref="H295:H298"/>
    <mergeCell ref="H299:H302"/>
    <mergeCell ref="H507:H509"/>
    <mergeCell ref="H510:H512"/>
    <mergeCell ref="H504:H506"/>
    <mergeCell ref="G501:G503"/>
    <mergeCell ref="H501:H503"/>
    <mergeCell ref="H279:H282"/>
    <mergeCell ref="H283:H286"/>
    <mergeCell ref="H287:H290"/>
    <mergeCell ref="H347:H350"/>
    <mergeCell ref="G507:G509"/>
    <mergeCell ref="G510:G512"/>
    <mergeCell ref="E507:E509"/>
    <mergeCell ref="A620:A621"/>
    <mergeCell ref="C620:C621"/>
    <mergeCell ref="D540:D552"/>
    <mergeCell ref="E540:E552"/>
    <mergeCell ref="A323:A326"/>
    <mergeCell ref="B335:B338"/>
    <mergeCell ref="A335:A338"/>
    <mergeCell ref="B347:B350"/>
    <mergeCell ref="A347:A350"/>
    <mergeCell ref="A519:A524"/>
    <mergeCell ref="A501:A503"/>
    <mergeCell ref="A525:A552"/>
    <mergeCell ref="B501:B503"/>
    <mergeCell ref="B519:B524"/>
    <mergeCell ref="C614:C616"/>
    <mergeCell ref="A617:A619"/>
    <mergeCell ref="B617:B619"/>
    <mergeCell ref="C617:C619"/>
    <mergeCell ref="C582:C583"/>
    <mergeCell ref="H417:H420"/>
    <mergeCell ref="A295:A298"/>
    <mergeCell ref="B614:B616"/>
    <mergeCell ref="B295:B298"/>
    <mergeCell ref="B569:B596"/>
    <mergeCell ref="A614:A616"/>
    <mergeCell ref="B323:B326"/>
    <mergeCell ref="B311:B314"/>
    <mergeCell ref="A311:A314"/>
    <mergeCell ref="A569:A597"/>
    <mergeCell ref="B553:B568"/>
    <mergeCell ref="A553:A568"/>
    <mergeCell ref="A598:A611"/>
    <mergeCell ref="B307:B310"/>
    <mergeCell ref="A307:A310"/>
    <mergeCell ref="B373:B392"/>
    <mergeCell ref="A417:A420"/>
    <mergeCell ref="B417:B420"/>
    <mergeCell ref="A425:A428"/>
    <mergeCell ref="A513:A518"/>
    <mergeCell ref="A351:A370"/>
    <mergeCell ref="B351:B370"/>
    <mergeCell ref="B525:B552"/>
    <mergeCell ref="B395:B414"/>
    <mergeCell ref="B723:B731"/>
    <mergeCell ref="B194:B214"/>
    <mergeCell ref="A194:A214"/>
    <mergeCell ref="B217:B237"/>
    <mergeCell ref="A217:A237"/>
    <mergeCell ref="B240:B260"/>
    <mergeCell ref="A240:A260"/>
    <mergeCell ref="B275:B278"/>
    <mergeCell ref="B267:B270"/>
    <mergeCell ref="B263:B266"/>
    <mergeCell ref="A263:A266"/>
    <mergeCell ref="A267:A270"/>
    <mergeCell ref="A275:A278"/>
    <mergeCell ref="A650:A651"/>
    <mergeCell ref="B650:B651"/>
    <mergeCell ref="B640:B649"/>
    <mergeCell ref="A640:A649"/>
    <mergeCell ref="A504:A512"/>
    <mergeCell ref="A627:A639"/>
    <mergeCell ref="B627:B639"/>
    <mergeCell ref="A279:A282"/>
    <mergeCell ref="B279:B282"/>
    <mergeCell ref="B291:B294"/>
    <mergeCell ref="A291:A294"/>
    <mergeCell ref="D561:D564"/>
    <mergeCell ref="D559:D560"/>
    <mergeCell ref="C546:C548"/>
    <mergeCell ref="C554:C558"/>
    <mergeCell ref="D719:D720"/>
    <mergeCell ref="C533:C538"/>
    <mergeCell ref="C598:C611"/>
    <mergeCell ref="B652:B660"/>
    <mergeCell ref="D721:D722"/>
    <mergeCell ref="D647:D649"/>
    <mergeCell ref="C640:C649"/>
    <mergeCell ref="F703:F706"/>
    <mergeCell ref="D335:D346"/>
    <mergeCell ref="D507:D509"/>
    <mergeCell ref="D510:D512"/>
    <mergeCell ref="D504:D506"/>
    <mergeCell ref="E719:E720"/>
    <mergeCell ref="E647:E649"/>
    <mergeCell ref="E636:E639"/>
    <mergeCell ref="E581:E593"/>
    <mergeCell ref="F698:F700"/>
    <mergeCell ref="E510:E512"/>
    <mergeCell ref="F510:F512"/>
    <mergeCell ref="D377:D378"/>
    <mergeCell ref="E377:E378"/>
    <mergeCell ref="F377:F378"/>
    <mergeCell ref="E717:E718"/>
    <mergeCell ref="E698:E700"/>
    <mergeCell ref="D717:D718"/>
    <mergeCell ref="D703:D706"/>
    <mergeCell ref="E594:E596"/>
    <mergeCell ref="D581:D593"/>
    <mergeCell ref="E569:E580"/>
    <mergeCell ref="D565:D566"/>
    <mergeCell ref="E565:E566"/>
    <mergeCell ref="C351:C372"/>
    <mergeCell ref="D355:D356"/>
    <mergeCell ref="E355:E356"/>
    <mergeCell ref="F355:F356"/>
    <mergeCell ref="A723:A731"/>
    <mergeCell ref="B661:B698"/>
    <mergeCell ref="A661:A698"/>
    <mergeCell ref="D709:D710"/>
    <mergeCell ref="D707:D708"/>
    <mergeCell ref="E707:E708"/>
    <mergeCell ref="D711:D714"/>
    <mergeCell ref="E711:E714"/>
    <mergeCell ref="E721:E722"/>
    <mergeCell ref="E709:E710"/>
    <mergeCell ref="E703:E706"/>
    <mergeCell ref="C723:C731"/>
    <mergeCell ref="D715:D716"/>
    <mergeCell ref="C702:C722"/>
    <mergeCell ref="A702:A722"/>
    <mergeCell ref="B702:B722"/>
    <mergeCell ref="D690:D697"/>
    <mergeCell ref="D663:D669"/>
    <mergeCell ref="D698:D700"/>
    <mergeCell ref="E715:E716"/>
    <mergeCell ref="E567:E568"/>
    <mergeCell ref="E663:E669"/>
    <mergeCell ref="D569:D580"/>
    <mergeCell ref="D594:D596"/>
    <mergeCell ref="D567:D568"/>
    <mergeCell ref="C628:C639"/>
    <mergeCell ref="C652:C660"/>
    <mergeCell ref="C194:C216"/>
    <mergeCell ref="D199:D200"/>
    <mergeCell ref="C240:C262"/>
    <mergeCell ref="D245:D246"/>
    <mergeCell ref="D222:D223"/>
    <mergeCell ref="D311:D322"/>
    <mergeCell ref="D295:D306"/>
    <mergeCell ref="D323:D334"/>
    <mergeCell ref="D263:D266"/>
    <mergeCell ref="D208:D210"/>
    <mergeCell ref="D205:D207"/>
    <mergeCell ref="D237:D239"/>
    <mergeCell ref="C217:C239"/>
    <mergeCell ref="D231:D233"/>
    <mergeCell ref="D251:D253"/>
    <mergeCell ref="D247:D249"/>
    <mergeCell ref="D271:D274"/>
    <mergeCell ref="D307:D310"/>
    <mergeCell ref="D224:D226"/>
    <mergeCell ref="D211:D213"/>
    <mergeCell ref="D516:D518"/>
    <mergeCell ref="D357:D359"/>
    <mergeCell ref="F231:F233"/>
    <mergeCell ref="D228:D230"/>
    <mergeCell ref="E228:E230"/>
    <mergeCell ref="F228:F230"/>
    <mergeCell ref="D501:D503"/>
    <mergeCell ref="D347:D350"/>
    <mergeCell ref="E347:E350"/>
    <mergeCell ref="F245:F246"/>
    <mergeCell ref="E247:E249"/>
    <mergeCell ref="E224:E226"/>
    <mergeCell ref="E283:E294"/>
    <mergeCell ref="E323:E334"/>
    <mergeCell ref="E231:E233"/>
    <mergeCell ref="E307:E310"/>
    <mergeCell ref="E311:E322"/>
    <mergeCell ref="E279:E282"/>
    <mergeCell ref="E260:E262"/>
    <mergeCell ref="E245:E246"/>
    <mergeCell ref="E237:E239"/>
    <mergeCell ref="E561:E564"/>
    <mergeCell ref="D529:D532"/>
    <mergeCell ref="F501:F503"/>
    <mergeCell ref="F347:F350"/>
    <mergeCell ref="E501:E503"/>
    <mergeCell ref="D275:D278"/>
    <mergeCell ref="D257:D259"/>
    <mergeCell ref="D254:D256"/>
    <mergeCell ref="F251:F253"/>
    <mergeCell ref="E251:E253"/>
    <mergeCell ref="F279:F282"/>
    <mergeCell ref="F271:F274"/>
    <mergeCell ref="E559:E560"/>
    <mergeCell ref="D283:D294"/>
    <mergeCell ref="D267:D270"/>
    <mergeCell ref="F254:F256"/>
    <mergeCell ref="E335:E346"/>
    <mergeCell ref="D279:D282"/>
    <mergeCell ref="D260:D262"/>
    <mergeCell ref="E257:E259"/>
    <mergeCell ref="E254:E256"/>
    <mergeCell ref="E267:E270"/>
    <mergeCell ref="E263:E266"/>
    <mergeCell ref="E275:E278"/>
    <mergeCell ref="E271:E274"/>
    <mergeCell ref="F237:F239"/>
    <mergeCell ref="F234:F236"/>
    <mergeCell ref="F323:F334"/>
    <mergeCell ref="AV130:AV133"/>
    <mergeCell ref="H158:H161"/>
    <mergeCell ref="H154:H157"/>
    <mergeCell ref="H142:H145"/>
    <mergeCell ref="H146:H149"/>
    <mergeCell ref="H178:H181"/>
    <mergeCell ref="E170:E181"/>
    <mergeCell ref="F182:F193"/>
    <mergeCell ref="E158:E169"/>
    <mergeCell ref="F146:F157"/>
    <mergeCell ref="H150:H153"/>
    <mergeCell ref="H162:H165"/>
    <mergeCell ref="H166:H169"/>
    <mergeCell ref="E142:E145"/>
    <mergeCell ref="F142:F145"/>
    <mergeCell ref="H130:H133"/>
    <mergeCell ref="H138:H141"/>
    <mergeCell ref="F130:F141"/>
    <mergeCell ref="H134:H137"/>
    <mergeCell ref="H291:H294"/>
    <mergeCell ref="H182:H185"/>
    <mergeCell ref="H174:H177"/>
    <mergeCell ref="F170:F181"/>
    <mergeCell ref="E182:E193"/>
    <mergeCell ref="H267:H270"/>
    <mergeCell ref="F283:F294"/>
    <mergeCell ref="AW561:AW562"/>
    <mergeCell ref="H186:H189"/>
    <mergeCell ref="H190:H193"/>
    <mergeCell ref="AV295:AV298"/>
    <mergeCell ref="H275:H278"/>
    <mergeCell ref="H263:H266"/>
    <mergeCell ref="H335:H338"/>
    <mergeCell ref="H339:H342"/>
    <mergeCell ref="H343:H346"/>
    <mergeCell ref="H327:H330"/>
    <mergeCell ref="H331:H334"/>
    <mergeCell ref="H303:H306"/>
    <mergeCell ref="H307:H310"/>
    <mergeCell ref="H323:H326"/>
    <mergeCell ref="H311:H314"/>
    <mergeCell ref="H315:H318"/>
    <mergeCell ref="H319:H322"/>
    <mergeCell ref="E295:E306"/>
    <mergeCell ref="F260:F262"/>
    <mergeCell ref="F247:F249"/>
    <mergeCell ref="F222:F223"/>
    <mergeCell ref="F311:F322"/>
    <mergeCell ref="F214:F216"/>
    <mergeCell ref="E60:E61"/>
    <mergeCell ref="D72:D73"/>
    <mergeCell ref="E72:E73"/>
    <mergeCell ref="B29:B40"/>
    <mergeCell ref="C29:C40"/>
    <mergeCell ref="D142:D145"/>
    <mergeCell ref="D130:D141"/>
    <mergeCell ref="D170:D181"/>
    <mergeCell ref="D110:D113"/>
    <mergeCell ref="D83:D84"/>
    <mergeCell ref="D63:D64"/>
    <mergeCell ref="E69:E70"/>
    <mergeCell ref="D87:D88"/>
    <mergeCell ref="D75:D76"/>
    <mergeCell ref="E63:E64"/>
    <mergeCell ref="E67:E68"/>
    <mergeCell ref="D69:D70"/>
    <mergeCell ref="F69:F70"/>
    <mergeCell ref="E80:E81"/>
    <mergeCell ref="D60:D61"/>
    <mergeCell ref="F72:F73"/>
    <mergeCell ref="F67:F68"/>
    <mergeCell ref="B41:B193"/>
    <mergeCell ref="H118:H121"/>
    <mergeCell ref="H110:H113"/>
    <mergeCell ref="D8:D9"/>
    <mergeCell ref="E8:H8"/>
    <mergeCell ref="E55:E56"/>
    <mergeCell ref="E118:E129"/>
    <mergeCell ref="D118:D129"/>
    <mergeCell ref="F49:F50"/>
    <mergeCell ref="F51:F52"/>
    <mergeCell ref="F53:F54"/>
    <mergeCell ref="D53:D54"/>
    <mergeCell ref="D55:D56"/>
    <mergeCell ref="E146:E157"/>
    <mergeCell ref="D67:D68"/>
    <mergeCell ref="F63:F64"/>
    <mergeCell ref="E96:E97"/>
    <mergeCell ref="D158:D169"/>
    <mergeCell ref="D146:D157"/>
    <mergeCell ref="D182:D193"/>
    <mergeCell ref="H170:H173"/>
    <mergeCell ref="AH4:AJ4"/>
    <mergeCell ref="AG8:AJ8"/>
    <mergeCell ref="B6:S6"/>
    <mergeCell ref="C11:C28"/>
    <mergeCell ref="B8:B9"/>
    <mergeCell ref="C8:C9"/>
    <mergeCell ref="L2:S4"/>
    <mergeCell ref="F55:F56"/>
    <mergeCell ref="B11:B28"/>
    <mergeCell ref="I8:S8"/>
    <mergeCell ref="A8:A9"/>
    <mergeCell ref="A29:A40"/>
    <mergeCell ref="E114:E117"/>
    <mergeCell ref="F83:F84"/>
    <mergeCell ref="F114:F117"/>
    <mergeCell ref="A11:A28"/>
    <mergeCell ref="F80:F81"/>
    <mergeCell ref="E110:E113"/>
    <mergeCell ref="F110:F113"/>
    <mergeCell ref="C57:C76"/>
    <mergeCell ref="C77:C97"/>
    <mergeCell ref="C98:C109"/>
    <mergeCell ref="D44:D45"/>
    <mergeCell ref="D46:D47"/>
    <mergeCell ref="D49:D50"/>
    <mergeCell ref="D51:D52"/>
    <mergeCell ref="A41:A193"/>
    <mergeCell ref="C41:C56"/>
    <mergeCell ref="E46:E47"/>
    <mergeCell ref="F96:F97"/>
    <mergeCell ref="F60:F61"/>
    <mergeCell ref="E83:E84"/>
    <mergeCell ref="F46:F47"/>
    <mergeCell ref="E49:E50"/>
    <mergeCell ref="L1:S1"/>
    <mergeCell ref="F257:F259"/>
    <mergeCell ref="F263:F266"/>
    <mergeCell ref="F267:F270"/>
    <mergeCell ref="D114:D117"/>
    <mergeCell ref="D201:D203"/>
    <mergeCell ref="E201:E203"/>
    <mergeCell ref="D234:D236"/>
    <mergeCell ref="E234:E236"/>
    <mergeCell ref="D214:D216"/>
    <mergeCell ref="E214:E216"/>
    <mergeCell ref="E75:E76"/>
    <mergeCell ref="E44:E45"/>
    <mergeCell ref="F44:F45"/>
    <mergeCell ref="O7:S7"/>
    <mergeCell ref="D80:D81"/>
    <mergeCell ref="H114:H117"/>
    <mergeCell ref="H126:H129"/>
    <mergeCell ref="H122:H125"/>
    <mergeCell ref="F118:F129"/>
    <mergeCell ref="E51:E52"/>
    <mergeCell ref="E53:E54"/>
    <mergeCell ref="E130:E141"/>
    <mergeCell ref="F158:F169"/>
    <mergeCell ref="F75:F76"/>
    <mergeCell ref="F224:F226"/>
    <mergeCell ref="F201:F203"/>
    <mergeCell ref="E211:E213"/>
    <mergeCell ref="F211:F213"/>
    <mergeCell ref="E205:E207"/>
    <mergeCell ref="F205:F207"/>
    <mergeCell ref="F208:F210"/>
    <mergeCell ref="F199:F200"/>
    <mergeCell ref="E199:E200"/>
    <mergeCell ref="E208:E210"/>
    <mergeCell ref="E222:E223"/>
    <mergeCell ref="E516:E518"/>
    <mergeCell ref="F516:F518"/>
    <mergeCell ref="G516:G518"/>
    <mergeCell ref="H516:H518"/>
    <mergeCell ref="B504:B518"/>
    <mergeCell ref="D513:D515"/>
    <mergeCell ref="E513:E515"/>
    <mergeCell ref="F513:F515"/>
    <mergeCell ref="G513:G515"/>
    <mergeCell ref="H513:H515"/>
  </mergeCells>
  <pageMargins left="0.15748031496062992" right="0.15748031496062992" top="1.3779527559055118" bottom="0.39370078740157483" header="0.51181102362204722" footer="0.39370078740157483"/>
  <pageSetup paperSize="9" scale="45" firstPageNumber="5" fitToHeight="0" orientation="landscape" useFirstPageNumber="1" r:id="rId1"/>
  <headerFooter>
    <oddHeader>&amp;C&amp;"Times New Roman,обычный"&amp;14&amp;P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showWhiteSpace="0" view="pageBreakPreview" topLeftCell="A10" zoomScale="80" zoomScaleNormal="100" zoomScaleSheetLayoutView="80" zoomScalePageLayoutView="70" workbookViewId="0">
      <selection activeCell="C32" sqref="C32"/>
    </sheetView>
  </sheetViews>
  <sheetFormatPr defaultRowHeight="18.75" x14ac:dyDescent="0.3"/>
  <cols>
    <col min="1" max="1" width="6" style="35" customWidth="1"/>
    <col min="2" max="2" width="25.28515625" style="39" customWidth="1"/>
    <col min="3" max="3" width="15.28515625" style="39" customWidth="1"/>
    <col min="4" max="4" width="14.85546875" style="39" customWidth="1"/>
    <col min="5" max="6" width="14.28515625" style="39" customWidth="1"/>
    <col min="7" max="13" width="14.28515625" style="35" customWidth="1"/>
    <col min="14" max="14" width="19" style="35" customWidth="1"/>
    <col min="15" max="15" width="21.85546875" style="35" customWidth="1"/>
    <col min="16" max="16" width="14.140625" style="35" customWidth="1"/>
    <col min="17" max="18" width="9.140625" style="35" customWidth="1"/>
    <col min="19" max="19" width="14.85546875" style="35" customWidth="1"/>
    <col min="20" max="20" width="12.42578125" style="35" bestFit="1" customWidth="1"/>
    <col min="21" max="21" width="16.5703125" style="35" customWidth="1"/>
    <col min="22" max="22" width="12.42578125" style="35" bestFit="1" customWidth="1"/>
    <col min="23" max="16384" width="9.140625" style="35"/>
  </cols>
  <sheetData>
    <row r="1" spans="1:20" ht="60.75" customHeight="1" x14ac:dyDescent="0.3">
      <c r="A1" s="81"/>
      <c r="B1" s="81"/>
      <c r="C1" s="81"/>
      <c r="D1" s="81"/>
      <c r="E1" s="81"/>
      <c r="F1" s="81"/>
      <c r="H1" s="212" t="s">
        <v>343</v>
      </c>
      <c r="I1" s="212"/>
      <c r="J1" s="212"/>
      <c r="K1" s="212"/>
      <c r="L1" s="212"/>
      <c r="M1" s="135"/>
    </row>
    <row r="2" spans="1:20" ht="100.5" customHeight="1" x14ac:dyDescent="0.3">
      <c r="A2" s="81"/>
      <c r="B2" s="81"/>
      <c r="C2" s="81"/>
      <c r="D2" s="82"/>
      <c r="E2" s="82"/>
      <c r="F2" s="81"/>
      <c r="H2" s="212" t="s">
        <v>310</v>
      </c>
      <c r="I2" s="212"/>
      <c r="J2" s="212"/>
      <c r="K2" s="212"/>
      <c r="L2" s="212"/>
      <c r="M2" s="135"/>
    </row>
    <row r="3" spans="1:20" ht="17.25" customHeight="1" x14ac:dyDescent="0.3">
      <c r="A3" s="81"/>
      <c r="B3" s="81"/>
      <c r="C3" s="81"/>
      <c r="D3" s="82"/>
      <c r="E3" s="82"/>
      <c r="F3" s="81"/>
      <c r="G3" s="135"/>
      <c r="H3" s="135"/>
      <c r="I3" s="135"/>
      <c r="J3" s="135"/>
      <c r="K3" s="135"/>
      <c r="L3" s="135"/>
      <c r="M3" s="135"/>
    </row>
    <row r="4" spans="1:20" ht="19.5" x14ac:dyDescent="0.3">
      <c r="A4" s="81"/>
      <c r="B4" s="176" t="s">
        <v>78</v>
      </c>
      <c r="C4" s="176"/>
      <c r="D4" s="176"/>
      <c r="E4" s="176"/>
      <c r="F4" s="176"/>
      <c r="G4" s="176"/>
      <c r="H4" s="176"/>
      <c r="I4" s="176"/>
      <c r="J4" s="176"/>
      <c r="K4" s="176"/>
      <c r="L4" s="134"/>
      <c r="M4" s="134"/>
    </row>
    <row r="5" spans="1:20" ht="19.5" customHeight="1" x14ac:dyDescent="0.3">
      <c r="A5" s="81"/>
      <c r="B5" s="213" t="s">
        <v>296</v>
      </c>
      <c r="C5" s="213"/>
      <c r="D5" s="213"/>
      <c r="E5" s="213"/>
      <c r="F5" s="213"/>
      <c r="G5" s="213"/>
      <c r="H5" s="213"/>
      <c r="I5" s="213"/>
      <c r="J5" s="213"/>
      <c r="K5" s="87"/>
      <c r="L5" s="87"/>
      <c r="M5" s="87"/>
    </row>
    <row r="6" spans="1:20" ht="19.5" x14ac:dyDescent="0.3">
      <c r="A6" s="81"/>
      <c r="B6" s="213"/>
      <c r="C6" s="213"/>
      <c r="D6" s="213"/>
      <c r="E6" s="213"/>
      <c r="F6" s="213"/>
      <c r="G6" s="213"/>
      <c r="H6" s="213"/>
      <c r="I6" s="213"/>
      <c r="J6" s="213"/>
      <c r="K6" s="87"/>
      <c r="L6" s="87"/>
      <c r="M6" s="87"/>
      <c r="S6" s="44"/>
    </row>
    <row r="7" spans="1:20" ht="19.5" x14ac:dyDescent="0.3">
      <c r="A7" s="81"/>
      <c r="B7" s="134"/>
      <c r="C7" s="134"/>
      <c r="D7" s="134"/>
      <c r="E7" s="134"/>
      <c r="F7" s="134"/>
      <c r="G7" s="81"/>
      <c r="H7" s="81"/>
      <c r="L7" s="211" t="s">
        <v>147</v>
      </c>
      <c r="M7" s="211"/>
    </row>
    <row r="8" spans="1:20" ht="24" customHeight="1" x14ac:dyDescent="0.25">
      <c r="A8" s="209" t="s">
        <v>149</v>
      </c>
      <c r="B8" s="166" t="s">
        <v>150</v>
      </c>
      <c r="C8" s="166" t="s">
        <v>148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O8" s="52"/>
    </row>
    <row r="9" spans="1:20" ht="18.75" customHeight="1" x14ac:dyDescent="0.25">
      <c r="A9" s="209"/>
      <c r="B9" s="166"/>
      <c r="C9" s="166" t="s">
        <v>63</v>
      </c>
      <c r="D9" s="166" t="s">
        <v>64</v>
      </c>
      <c r="E9" s="166"/>
      <c r="F9" s="166"/>
      <c r="G9" s="166"/>
      <c r="H9" s="166"/>
      <c r="I9" s="166"/>
      <c r="J9" s="166"/>
      <c r="K9" s="166"/>
      <c r="L9" s="166"/>
      <c r="M9" s="166"/>
    </row>
    <row r="10" spans="1:20" x14ac:dyDescent="0.25">
      <c r="A10" s="209"/>
      <c r="B10" s="166"/>
      <c r="C10" s="166"/>
      <c r="D10" s="132">
        <v>2018</v>
      </c>
      <c r="E10" s="132">
        <v>2019</v>
      </c>
      <c r="F10" s="132">
        <v>2020</v>
      </c>
      <c r="G10" s="132">
        <v>2021</v>
      </c>
      <c r="H10" s="132">
        <v>2022</v>
      </c>
      <c r="I10" s="132">
        <v>2023</v>
      </c>
      <c r="J10" s="132">
        <v>2024</v>
      </c>
      <c r="K10" s="132">
        <v>2025</v>
      </c>
      <c r="L10" s="132">
        <v>2026</v>
      </c>
      <c r="M10" s="132">
        <v>2027</v>
      </c>
    </row>
    <row r="11" spans="1:20" x14ac:dyDescent="0.25">
      <c r="A11" s="80">
        <v>1</v>
      </c>
      <c r="B11" s="132">
        <v>2</v>
      </c>
      <c r="C11" s="132">
        <v>3</v>
      </c>
      <c r="D11" s="132">
        <v>4</v>
      </c>
      <c r="E11" s="132">
        <v>5</v>
      </c>
      <c r="F11" s="132">
        <v>6</v>
      </c>
      <c r="G11" s="80">
        <v>7</v>
      </c>
      <c r="H11" s="80">
        <v>8</v>
      </c>
      <c r="I11" s="80">
        <v>9</v>
      </c>
      <c r="J11" s="80">
        <v>10</v>
      </c>
      <c r="K11" s="80">
        <v>11</v>
      </c>
      <c r="L11" s="80">
        <v>12</v>
      </c>
      <c r="M11" s="80">
        <v>13</v>
      </c>
    </row>
    <row r="12" spans="1:20" ht="32.25" customHeight="1" x14ac:dyDescent="0.25">
      <c r="A12" s="80">
        <v>1</v>
      </c>
      <c r="B12" s="133" t="s">
        <v>65</v>
      </c>
      <c r="C12" s="138">
        <f>SUM(D12:M12)-0.01</f>
        <v>9979618.3266000003</v>
      </c>
      <c r="D12" s="33">
        <f t="shared" ref="D12:L12" si="0">D14+D15+D16+D17</f>
        <v>2769346.7198699997</v>
      </c>
      <c r="E12" s="33">
        <f t="shared" si="0"/>
        <v>518591.22</v>
      </c>
      <c r="F12" s="33">
        <f t="shared" si="0"/>
        <v>523430.65148</v>
      </c>
      <c r="G12" s="33">
        <f t="shared" si="0"/>
        <v>614185.52</v>
      </c>
      <c r="H12" s="33">
        <f t="shared" si="0"/>
        <v>606352.42000000004</v>
      </c>
      <c r="I12" s="33">
        <f t="shared" si="0"/>
        <v>606320.01</v>
      </c>
      <c r="J12" s="33">
        <f t="shared" si="0"/>
        <v>880118.8679999999</v>
      </c>
      <c r="K12" s="33">
        <f t="shared" si="0"/>
        <v>1662590.03917</v>
      </c>
      <c r="L12" s="33">
        <f t="shared" si="0"/>
        <v>906411.54404000007</v>
      </c>
      <c r="M12" s="33">
        <f>M14+M15+M16+M17</f>
        <v>892271.34404000011</v>
      </c>
      <c r="N12" s="44">
        <f>0.72+0.22+0.65+0.52+0.42+0.39+0.15+0.43+0.43</f>
        <v>3.93</v>
      </c>
      <c r="O12" s="44">
        <f>O14+O15+O16+O17</f>
        <v>6757773.4199999999</v>
      </c>
      <c r="S12" s="44"/>
      <c r="T12" s="44"/>
    </row>
    <row r="13" spans="1:20" ht="18.75" customHeight="1" x14ac:dyDescent="0.25">
      <c r="A13" s="80">
        <f>A12+1</f>
        <v>2</v>
      </c>
      <c r="B13" s="168" t="s">
        <v>66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62"/>
    </row>
    <row r="14" spans="1:20" x14ac:dyDescent="0.25">
      <c r="A14" s="80">
        <f t="shared" ref="A14:A53" si="1">A13+1</f>
        <v>3</v>
      </c>
      <c r="B14" s="133" t="s">
        <v>67</v>
      </c>
      <c r="C14" s="138">
        <f>SUM(D14:M14)-0.01</f>
        <v>1836751.2987500001</v>
      </c>
      <c r="D14" s="33">
        <f>D20+D26+D32+D38+D44</f>
        <v>199973.84998999999</v>
      </c>
      <c r="E14" s="33">
        <f>E20+E26+E32+E38+E44</f>
        <v>89501.65</v>
      </c>
      <c r="F14" s="33">
        <f>F20+F26+F32+F38+F44</f>
        <v>102592.43351</v>
      </c>
      <c r="G14" s="33">
        <f>G20+G26+G32+G38+G44</f>
        <v>174764.22</v>
      </c>
      <c r="H14" s="33">
        <f>H20+H26+H32+H38+H44+H48</f>
        <v>206095.86</v>
      </c>
      <c r="I14" s="33">
        <f>I20+I26+I32+I38+I44+I48</f>
        <v>210677.07</v>
      </c>
      <c r="J14" s="33">
        <f>J20+J26+J32+J38+J42+J48</f>
        <v>314325.69799999997</v>
      </c>
      <c r="K14" s="33">
        <f>K20+K26+K32+K38+K42+K48</f>
        <v>235432.03917</v>
      </c>
      <c r="L14" s="33">
        <f>L20+L26+L32+L38+L42+L48</f>
        <v>151694.24404000002</v>
      </c>
      <c r="M14" s="33">
        <f>M20+M26+M32+M38+M42+M48</f>
        <v>151694.24404000002</v>
      </c>
      <c r="N14" s="44">
        <f>0.85+0.65+0.43+0.22+0.86+0.07+0.7+0.04+0.24+0.24</f>
        <v>4.3</v>
      </c>
      <c r="O14" s="44">
        <v>1376884.9</v>
      </c>
    </row>
    <row r="15" spans="1:20" x14ac:dyDescent="0.25">
      <c r="A15" s="80">
        <f t="shared" si="1"/>
        <v>4</v>
      </c>
      <c r="B15" s="133" t="s">
        <v>68</v>
      </c>
      <c r="C15" s="33">
        <f>SUM(D15:M15)</f>
        <v>3042313.9915499995</v>
      </c>
      <c r="D15" s="33">
        <f t="shared" ref="D15:I17" si="2">D21+D27+D33+D39+D45</f>
        <v>724127.48994999996</v>
      </c>
      <c r="E15" s="33">
        <f t="shared" si="2"/>
        <v>20300.47</v>
      </c>
      <c r="F15" s="33">
        <f t="shared" si="2"/>
        <v>20307.901599999997</v>
      </c>
      <c r="G15" s="33">
        <f t="shared" si="2"/>
        <v>68289.09</v>
      </c>
      <c r="H15" s="33">
        <f t="shared" si="2"/>
        <v>19171.13</v>
      </c>
      <c r="I15" s="33">
        <f>I21+I27+I33+I39+I45</f>
        <v>19144.34</v>
      </c>
      <c r="J15" s="33">
        <f>J21+J27+J33+J39+J45</f>
        <v>207671.58</v>
      </c>
      <c r="K15" s="33">
        <f>K21+K27+K33+K39+K45</f>
        <v>1080149.48</v>
      </c>
      <c r="L15" s="33">
        <f>L21+L27+L33+L39+L45</f>
        <v>435471.73</v>
      </c>
      <c r="M15" s="33">
        <f>M21+M27+M33+M39+M45</f>
        <v>447680.78</v>
      </c>
      <c r="N15" s="44">
        <f>0.49+0.47+0.9+0.09+0.13+0.34+0.58+0.02+0.02</f>
        <v>3.04</v>
      </c>
      <c r="O15" s="44">
        <v>1091003.3899999999</v>
      </c>
      <c r="T15" s="44"/>
    </row>
    <row r="16" spans="1:20" ht="37.5" x14ac:dyDescent="0.25">
      <c r="A16" s="80">
        <f t="shared" si="1"/>
        <v>5</v>
      </c>
      <c r="B16" s="133" t="s">
        <v>69</v>
      </c>
      <c r="C16" s="33">
        <f>SUM(D16:M16)</f>
        <v>4987225.6963000009</v>
      </c>
      <c r="D16" s="33">
        <f t="shared" si="2"/>
        <v>1826440.80993</v>
      </c>
      <c r="E16" s="33">
        <f t="shared" si="2"/>
        <v>392776.48</v>
      </c>
      <c r="F16" s="33">
        <f t="shared" si="2"/>
        <v>385850.19637000002</v>
      </c>
      <c r="G16" s="33">
        <f>G22+G28+G34+G40+G46</f>
        <v>356992.70999999996</v>
      </c>
      <c r="H16" s="33">
        <f t="shared" si="2"/>
        <v>364251.54000000004</v>
      </c>
      <c r="I16" s="33">
        <f t="shared" si="2"/>
        <v>363742.53</v>
      </c>
      <c r="J16" s="33">
        <f>J22+J28+J34+J40+J46</f>
        <v>338021.02</v>
      </c>
      <c r="K16" s="33">
        <f>K22+K28+K34+K40+K46</f>
        <v>347008.52</v>
      </c>
      <c r="L16" s="33">
        <f>L22+L28+L34+L40+L46</f>
        <v>319245.57</v>
      </c>
      <c r="M16" s="33">
        <f>M22+M28+M34+M40+M46</f>
        <v>292896.32</v>
      </c>
      <c r="N16" s="44">
        <f>0.81+0.48+0.2+0.71+0.54+0.53+0.02</f>
        <v>3.2900000000000005</v>
      </c>
      <c r="O16" s="44">
        <v>4157015.4</v>
      </c>
    </row>
    <row r="17" spans="1:22" ht="37.5" x14ac:dyDescent="0.25">
      <c r="A17" s="80">
        <f t="shared" si="1"/>
        <v>6</v>
      </c>
      <c r="B17" s="133" t="s">
        <v>292</v>
      </c>
      <c r="C17" s="33">
        <f>SUM(D17:M17)</f>
        <v>113327.34000000003</v>
      </c>
      <c r="D17" s="33">
        <f>D23+D29+D35+D41+D47</f>
        <v>18804.57</v>
      </c>
      <c r="E17" s="33">
        <f>E23+E29+E35+E41+E47</f>
        <v>16012.62</v>
      </c>
      <c r="F17" s="33">
        <f>F23+F29+F35+F41+F47</f>
        <v>14680.12</v>
      </c>
      <c r="G17" s="33">
        <f t="shared" si="2"/>
        <v>14139.5</v>
      </c>
      <c r="H17" s="33">
        <f>H23+H29+H35+H41+H47</f>
        <v>16833.89</v>
      </c>
      <c r="I17" s="33">
        <f t="shared" si="2"/>
        <v>12756.07</v>
      </c>
      <c r="J17" s="33">
        <f>J23+J29+J35+J41+J47</f>
        <v>20100.57</v>
      </c>
      <c r="K17" s="33">
        <f>K23+K29+K35+K41+K47</f>
        <v>0</v>
      </c>
      <c r="L17" s="33">
        <f>L23+L29+L35+L41+L47</f>
        <v>0</v>
      </c>
      <c r="M17" s="33">
        <v>0</v>
      </c>
      <c r="N17" s="44">
        <f>0.57+0.62+0.12+0.5+0.89+0.07+0.57+0.57+0.57</f>
        <v>4.4799999999999995</v>
      </c>
      <c r="O17" s="44">
        <v>132869.73000000001</v>
      </c>
      <c r="T17" s="44"/>
      <c r="V17" s="44"/>
    </row>
    <row r="18" spans="1:22" ht="37.5" x14ac:dyDescent="0.25">
      <c r="A18" s="80">
        <v>7</v>
      </c>
      <c r="B18" s="85" t="s">
        <v>189</v>
      </c>
      <c r="C18" s="33">
        <f>SUM(D18:M18)</f>
        <v>6214451.8936099997</v>
      </c>
      <c r="D18" s="33">
        <f>D20+D21+D22+D23</f>
        <v>365543.58986999997</v>
      </c>
      <c r="E18" s="33">
        <f>E20+E21+E22+E23</f>
        <v>448553.87999999995</v>
      </c>
      <c r="F18" s="33">
        <f t="shared" ref="F18:L18" si="3">F20+F21+F22+F23</f>
        <v>438910.29648999998</v>
      </c>
      <c r="G18" s="33">
        <f t="shared" si="3"/>
        <v>459059.63999999996</v>
      </c>
      <c r="H18" s="33">
        <f t="shared" si="3"/>
        <v>421437.52</v>
      </c>
      <c r="I18" s="33">
        <f t="shared" si="3"/>
        <v>415596.52</v>
      </c>
      <c r="J18" s="33">
        <f t="shared" si="3"/>
        <v>662168.85</v>
      </c>
      <c r="K18" s="138">
        <f>K20+K21+K22+K23</f>
        <v>1458498.7091699999</v>
      </c>
      <c r="L18" s="138">
        <f t="shared" si="3"/>
        <v>779411.54404000007</v>
      </c>
      <c r="M18" s="138">
        <f>M20+M21+M22+M23</f>
        <v>765271.34404000011</v>
      </c>
      <c r="N18" s="44">
        <f>0.59+0.88+0.3+0.64+0.52+0.52+0.86+0.43+0.43</f>
        <v>5.17</v>
      </c>
      <c r="O18" s="44">
        <f>162035.78+318003.39+2483248+130267.22</f>
        <v>3093554.39</v>
      </c>
      <c r="T18" s="44"/>
      <c r="V18" s="44"/>
    </row>
    <row r="19" spans="1:22" ht="18.75" customHeight="1" x14ac:dyDescent="0.25">
      <c r="A19" s="80">
        <f t="shared" si="1"/>
        <v>8</v>
      </c>
      <c r="B19" s="168" t="s">
        <v>66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31"/>
      <c r="M19" s="62"/>
      <c r="N19" s="44"/>
      <c r="O19" s="44"/>
      <c r="T19" s="44"/>
      <c r="V19" s="44"/>
    </row>
    <row r="20" spans="1:22" x14ac:dyDescent="0.25">
      <c r="A20" s="80">
        <f t="shared" si="1"/>
        <v>9</v>
      </c>
      <c r="B20" s="133" t="s">
        <v>67</v>
      </c>
      <c r="C20" s="138">
        <f>SUM(D20:M20)-0.01</f>
        <v>297723.11576000002</v>
      </c>
      <c r="D20" s="33">
        <f>'приложение 4'!I98+'приложение 4'!I240</f>
        <v>14175.31999</v>
      </c>
      <c r="E20" s="33">
        <f>'приложение 4'!J240</f>
        <v>26531.71</v>
      </c>
      <c r="F20" s="33">
        <f>'приложение 4'!K240</f>
        <v>19138.338519999998</v>
      </c>
      <c r="G20" s="33">
        <f>'приложение 4'!L240+'приложение 4'!L503</f>
        <v>19638.34</v>
      </c>
      <c r="H20" s="33">
        <f>'приложение 4'!M240+'приложение 4'!M503</f>
        <v>21180.959999999999</v>
      </c>
      <c r="I20" s="33">
        <f>'приложение 4'!N240+'приложение 4'!N503</f>
        <v>19953.580000000002</v>
      </c>
      <c r="J20" s="33">
        <f>'приложение 4'!O240+'приложение 4'!O503+'приложение 4'!O506</f>
        <v>96375.679999999993</v>
      </c>
      <c r="K20" s="138">
        <f>'приложение 4'!P395+'приложение 4'!P506</f>
        <v>31340.709170000002</v>
      </c>
      <c r="L20" s="138">
        <f>'приложение 4'!Q395+'приложение 4'!Q506</f>
        <v>24694.244040000001</v>
      </c>
      <c r="M20" s="138">
        <f>'приложение 4'!R395+'приложение 4'!R506</f>
        <v>24694.244040000001</v>
      </c>
      <c r="N20" s="44">
        <f>0.32+0.71+0.34+0.34+0.96+0.58+0.68+0.71+0.24+0.24</f>
        <v>5.120000000000001</v>
      </c>
      <c r="O20" s="44"/>
      <c r="T20" s="44"/>
      <c r="V20" s="44"/>
    </row>
    <row r="21" spans="1:22" x14ac:dyDescent="0.25">
      <c r="A21" s="80">
        <f t="shared" si="1"/>
        <v>10</v>
      </c>
      <c r="B21" s="133" t="s">
        <v>68</v>
      </c>
      <c r="C21" s="33">
        <f>SUM(D21:M21)</f>
        <v>2444910.2915500002</v>
      </c>
      <c r="D21" s="34">
        <f>'приложение 4'!I77</f>
        <v>126723.78995000001</v>
      </c>
      <c r="E21" s="34">
        <f>'приложение 4'!J217</f>
        <v>20300.47</v>
      </c>
      <c r="F21" s="34">
        <f>'приложение 4'!K217</f>
        <v>20307.901599999997</v>
      </c>
      <c r="G21" s="34">
        <f>'приложение 4'!L217+'приложение 4'!L502</f>
        <v>68289.09</v>
      </c>
      <c r="H21" s="34">
        <f>'приложение 4'!M217+'приложение 4'!M502</f>
        <v>19171.13</v>
      </c>
      <c r="I21" s="34">
        <f>'приложение 4'!N217+'приложение 4'!N502</f>
        <v>19144.34</v>
      </c>
      <c r="J21" s="34">
        <f>'приложение 4'!O217+'приложение 4'!O502+'приложение 4'!O505</f>
        <v>207671.58</v>
      </c>
      <c r="K21" s="139">
        <f>'приложение 4'!P373+'приложение 4'!P505</f>
        <v>1080149.48</v>
      </c>
      <c r="L21" s="139">
        <f>'приложение 4'!Q373+'приложение 4'!Q505</f>
        <v>435471.73</v>
      </c>
      <c r="M21" s="139">
        <f>'приложение 4'!R373+'приложение 4'!R505</f>
        <v>447680.78</v>
      </c>
      <c r="N21" s="44">
        <f>0.8+0.44+0.9+0.09+0.13+0.34+0.78+0.02</f>
        <v>3.4999999999999996</v>
      </c>
      <c r="O21" s="44"/>
      <c r="T21" s="44"/>
      <c r="V21" s="44"/>
    </row>
    <row r="22" spans="1:22" ht="37.5" x14ac:dyDescent="0.25">
      <c r="A22" s="80">
        <f t="shared" si="1"/>
        <v>11</v>
      </c>
      <c r="B22" s="133" t="s">
        <v>69</v>
      </c>
      <c r="C22" s="33">
        <f>SUM(D22:M22)</f>
        <v>3359557.3962999997</v>
      </c>
      <c r="D22" s="33">
        <f>'приложение 4'!I57</f>
        <v>205839.90992999997</v>
      </c>
      <c r="E22" s="34">
        <f>'приложение 4'!J194</f>
        <v>385709.07999999996</v>
      </c>
      <c r="F22" s="34">
        <f>'приложение 4'!K194</f>
        <v>385850.19637000002</v>
      </c>
      <c r="G22" s="34">
        <f>'приложение 4'!L194</f>
        <v>356992.70999999996</v>
      </c>
      <c r="H22" s="34">
        <f>'приложение 4'!M194</f>
        <v>364251.54000000004</v>
      </c>
      <c r="I22" s="34">
        <f>'приложение 4'!N194</f>
        <v>363742.53</v>
      </c>
      <c r="J22" s="34">
        <f>'приложение 4'!O194</f>
        <v>338021.02</v>
      </c>
      <c r="K22" s="139">
        <f>'приложение 4'!P351</f>
        <v>347008.52</v>
      </c>
      <c r="L22" s="139">
        <f>'приложение 4'!Q351</f>
        <v>319245.57</v>
      </c>
      <c r="M22" s="139">
        <f>'приложение 4'!R351</f>
        <v>292896.32</v>
      </c>
      <c r="N22" s="44">
        <f>0.91+0.12+0.2+0.71+0.54+0.53+0.89</f>
        <v>3.9</v>
      </c>
      <c r="O22" s="44"/>
      <c r="T22" s="44"/>
      <c r="V22" s="44"/>
    </row>
    <row r="23" spans="1:22" ht="37.5" x14ac:dyDescent="0.25">
      <c r="A23" s="80">
        <f t="shared" si="1"/>
        <v>12</v>
      </c>
      <c r="B23" s="133" t="s">
        <v>292</v>
      </c>
      <c r="C23" s="33">
        <f>SUM(D23:M23)</f>
        <v>112261.08000000002</v>
      </c>
      <c r="D23" s="33">
        <v>18804.57</v>
      </c>
      <c r="E23" s="33">
        <v>16012.62</v>
      </c>
      <c r="F23" s="33">
        <v>13613.86</v>
      </c>
      <c r="G23" s="33">
        <v>14139.5</v>
      </c>
      <c r="H23" s="33">
        <v>16833.89</v>
      </c>
      <c r="I23" s="33">
        <v>12756.07</v>
      </c>
      <c r="J23" s="33">
        <v>20100.57</v>
      </c>
      <c r="K23" s="33">
        <v>0</v>
      </c>
      <c r="L23" s="33">
        <v>0</v>
      </c>
      <c r="M23" s="33">
        <v>0</v>
      </c>
      <c r="N23" s="44">
        <f>0.57+0.62+0.86+0.5+0.89+0.07+0.57+0.57+0.57</f>
        <v>5.2200000000000006</v>
      </c>
      <c r="O23" s="83">
        <v>10831.819750000001</v>
      </c>
      <c r="P23" s="83">
        <f>N23+O23</f>
        <v>10837.03975</v>
      </c>
      <c r="S23" s="84"/>
      <c r="T23" s="44"/>
      <c r="V23" s="44"/>
    </row>
    <row r="24" spans="1:22" ht="37.5" x14ac:dyDescent="0.25">
      <c r="A24" s="80">
        <f t="shared" si="1"/>
        <v>13</v>
      </c>
      <c r="B24" s="85" t="s">
        <v>190</v>
      </c>
      <c r="C24" s="33">
        <f t="shared" ref="C24:C29" si="4">SUM(D24:K24)</f>
        <v>2286820.62</v>
      </c>
      <c r="D24" s="33">
        <f t="shared" ref="D24:I24" si="5">D26+D27+D28+D29</f>
        <v>2267982.69</v>
      </c>
      <c r="E24" s="33">
        <f t="shared" si="5"/>
        <v>18837.93</v>
      </c>
      <c r="F24" s="33">
        <f t="shared" si="5"/>
        <v>0</v>
      </c>
      <c r="G24" s="33">
        <f t="shared" si="5"/>
        <v>0</v>
      </c>
      <c r="H24" s="33">
        <f t="shared" si="5"/>
        <v>0</v>
      </c>
      <c r="I24" s="33">
        <f t="shared" si="5"/>
        <v>0</v>
      </c>
      <c r="J24" s="33">
        <f>J26+J27+J28+J29</f>
        <v>0</v>
      </c>
      <c r="K24" s="33">
        <f>K26+K27+K28+K29</f>
        <v>0</v>
      </c>
      <c r="L24" s="33">
        <f>L26+L27+L28+L29</f>
        <v>0</v>
      </c>
      <c r="M24" s="33">
        <f>M26+M27+M28+M29</f>
        <v>0</v>
      </c>
      <c r="O24" s="35">
        <f>84870.44+773000+1673767.4</f>
        <v>2531637.84</v>
      </c>
    </row>
    <row r="25" spans="1:22" ht="18.75" customHeight="1" x14ac:dyDescent="0.25">
      <c r="A25" s="80">
        <f t="shared" si="1"/>
        <v>14</v>
      </c>
      <c r="B25" s="168" t="s">
        <v>66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31"/>
      <c r="M25" s="62"/>
      <c r="V25" s="44"/>
    </row>
    <row r="26" spans="1:22" x14ac:dyDescent="0.25">
      <c r="A26" s="80">
        <f t="shared" si="1"/>
        <v>15</v>
      </c>
      <c r="B26" s="133" t="s">
        <v>67</v>
      </c>
      <c r="C26" s="33">
        <f t="shared" si="4"/>
        <v>61748.619999999995</v>
      </c>
      <c r="D26" s="33">
        <f>'приложение 4'!I527+'приложение 4'!I554</f>
        <v>49978.09</v>
      </c>
      <c r="E26" s="33">
        <f>'приложение 4'!J527+'приложение 4'!J554</f>
        <v>11770.529999999999</v>
      </c>
      <c r="F26" s="33">
        <f>'приложение 4'!K527+'приложение 4'!K554</f>
        <v>0</v>
      </c>
      <c r="G26" s="33">
        <f>'приложение 4'!L527+'приложение 4'!L554</f>
        <v>0</v>
      </c>
      <c r="H26" s="33">
        <f>'приложение 4'!L527+'приложение 4'!L554</f>
        <v>0</v>
      </c>
      <c r="I26" s="33">
        <f>'приложение 4'!M527+'приложение 4'!M554</f>
        <v>0</v>
      </c>
      <c r="J26" s="33">
        <f>'приложение 4'!N527+'приложение 4'!N554</f>
        <v>0</v>
      </c>
      <c r="K26" s="33">
        <f>'приложение 4'!O527+'приложение 4'!O554</f>
        <v>0</v>
      </c>
      <c r="L26" s="33">
        <f>'приложение 4'!P527+'приложение 4'!P554</f>
        <v>0</v>
      </c>
      <c r="M26" s="33">
        <f>'приложение 4'!Q527+'приложение 4'!Q554</f>
        <v>0</v>
      </c>
    </row>
    <row r="27" spans="1:22" x14ac:dyDescent="0.25">
      <c r="A27" s="80">
        <f t="shared" si="1"/>
        <v>16</v>
      </c>
      <c r="B27" s="133" t="s">
        <v>68</v>
      </c>
      <c r="C27" s="33">
        <f t="shared" si="4"/>
        <v>597403.69999999995</v>
      </c>
      <c r="D27" s="34">
        <f>'приложение 4'!I528</f>
        <v>597403.69999999995</v>
      </c>
      <c r="E27" s="34">
        <f>'приложение 4'!J528</f>
        <v>0</v>
      </c>
      <c r="F27" s="34">
        <f>'приложение 4'!K528</f>
        <v>0</v>
      </c>
      <c r="G27" s="34">
        <f>'приложение 4'!L528</f>
        <v>0</v>
      </c>
      <c r="H27" s="34">
        <f>'приложение 4'!L528</f>
        <v>0</v>
      </c>
      <c r="I27" s="34">
        <f>'приложение 4'!M528</f>
        <v>0</v>
      </c>
      <c r="J27" s="34">
        <f>'приложение 4'!N528</f>
        <v>0</v>
      </c>
      <c r="K27" s="34">
        <f>'приложение 4'!O528</f>
        <v>0</v>
      </c>
      <c r="L27" s="34">
        <f>'приложение 4'!P528</f>
        <v>0</v>
      </c>
      <c r="M27" s="34">
        <f>'приложение 4'!Q528</f>
        <v>0</v>
      </c>
    </row>
    <row r="28" spans="1:22" ht="37.5" x14ac:dyDescent="0.25">
      <c r="A28" s="80">
        <f t="shared" si="1"/>
        <v>17</v>
      </c>
      <c r="B28" s="133" t="s">
        <v>69</v>
      </c>
      <c r="C28" s="33">
        <f t="shared" si="4"/>
        <v>1627668.2999999998</v>
      </c>
      <c r="D28" s="33">
        <f>'приложение 4'!I569</f>
        <v>1620600.9</v>
      </c>
      <c r="E28" s="33">
        <f>'приложение 4'!J569</f>
        <v>7067.4</v>
      </c>
      <c r="F28" s="33">
        <f>'приложение 4'!K569</f>
        <v>0</v>
      </c>
      <c r="G28" s="33">
        <f>'приложение 4'!L569</f>
        <v>0</v>
      </c>
      <c r="H28" s="33">
        <f>'приложение 4'!L569</f>
        <v>0</v>
      </c>
      <c r="I28" s="33">
        <f>'приложение 4'!M569</f>
        <v>0</v>
      </c>
      <c r="J28" s="33">
        <f>'приложение 4'!N569</f>
        <v>0</v>
      </c>
      <c r="K28" s="33">
        <f>'приложение 4'!O569</f>
        <v>0</v>
      </c>
      <c r="L28" s="33">
        <f>'приложение 4'!P569</f>
        <v>0</v>
      </c>
      <c r="M28" s="33">
        <f>'приложение 4'!Q569</f>
        <v>0</v>
      </c>
    </row>
    <row r="29" spans="1:22" ht="37.5" x14ac:dyDescent="0.25">
      <c r="A29" s="80">
        <f t="shared" si="1"/>
        <v>18</v>
      </c>
      <c r="B29" s="133" t="s">
        <v>70</v>
      </c>
      <c r="C29" s="33">
        <f t="shared" si="4"/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22" ht="36.75" customHeight="1" x14ac:dyDescent="0.25">
      <c r="A30" s="80">
        <f t="shared" si="1"/>
        <v>19</v>
      </c>
      <c r="B30" s="79" t="s">
        <v>210</v>
      </c>
      <c r="C30" s="33">
        <f>SUM(D30:M30)</f>
        <v>597262.46199999994</v>
      </c>
      <c r="D30" s="33">
        <f t="shared" ref="D30:I30" si="6">D32+D33+D34+D35</f>
        <v>10175</v>
      </c>
      <c r="E30" s="33">
        <f t="shared" si="6"/>
        <v>51199.409999999996</v>
      </c>
      <c r="F30" s="33">
        <f t="shared" si="6"/>
        <v>41870.03</v>
      </c>
      <c r="G30" s="33">
        <f t="shared" si="6"/>
        <v>74227.31</v>
      </c>
      <c r="H30" s="33">
        <f t="shared" si="6"/>
        <v>76760.179999999993</v>
      </c>
      <c r="I30" s="33">
        <f t="shared" si="6"/>
        <v>87213.47</v>
      </c>
      <c r="J30" s="33">
        <f>J32+J33+J34+J35</f>
        <v>97725.731999999989</v>
      </c>
      <c r="K30" s="33">
        <f>K32+K33+K34+K35</f>
        <v>104091.33</v>
      </c>
      <c r="L30" s="33">
        <f>L32+L33+L34+L35</f>
        <v>27000</v>
      </c>
      <c r="M30" s="33">
        <f>M32+M33+M34+M35</f>
        <v>27000</v>
      </c>
    </row>
    <row r="31" spans="1:22" ht="18.75" customHeight="1" x14ac:dyDescent="0.25">
      <c r="A31" s="80">
        <f t="shared" si="1"/>
        <v>20</v>
      </c>
      <c r="B31" s="168" t="s">
        <v>66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31"/>
      <c r="M31" s="62"/>
    </row>
    <row r="32" spans="1:22" ht="18.75" customHeight="1" x14ac:dyDescent="0.25">
      <c r="A32" s="80">
        <f t="shared" si="1"/>
        <v>21</v>
      </c>
      <c r="B32" s="133" t="s">
        <v>67</v>
      </c>
      <c r="C32" s="33">
        <f>SUM(D32:M32)</f>
        <v>596196.20199999993</v>
      </c>
      <c r="D32" s="33">
        <f>'приложение 4'!I599+'приложение 4'!I601+'приложение 4'!I604-D35</f>
        <v>10175</v>
      </c>
      <c r="E32" s="33">
        <f>'приложение 4'!J599+'приложение 4'!J601+'приложение 4'!J604-E35</f>
        <v>51199.409999999996</v>
      </c>
      <c r="F32" s="33">
        <f>'приложение 4'!K599+'приложение 4'!K602+'приложение 4'!K604-F35</f>
        <v>40803.769999999997</v>
      </c>
      <c r="G32" s="33">
        <f>'приложение 4'!L599+'приложение 4'!L602+'приложение 4'!L604-G35</f>
        <v>74227.31</v>
      </c>
      <c r="H32" s="33">
        <f>'приложение 4'!M599+'приложение 4'!M602+'приложение 4'!M604-H35</f>
        <v>76760.179999999993</v>
      </c>
      <c r="I32" s="33">
        <f>'приложение 4'!N599+'приложение 4'!N602+'приложение 4'!N604-I35</f>
        <v>87213.47</v>
      </c>
      <c r="J32" s="33">
        <f>'приложение 4'!O600+'приложение 4'!O603+'приложение 4'!O604-J35</f>
        <v>97725.731999999989</v>
      </c>
      <c r="K32" s="33">
        <f>'приложение 4'!P600+'приложение 4'!P603+'приложение 4'!P604-K35</f>
        <v>104091.33</v>
      </c>
      <c r="L32" s="33">
        <f>'приложение 4'!Q600+'приложение 4'!Q603+'приложение 4'!Q604-L35</f>
        <v>27000</v>
      </c>
      <c r="M32" s="33">
        <f>'приложение 4'!R600+'приложение 4'!R603+'приложение 4'!R604-M35</f>
        <v>27000</v>
      </c>
      <c r="N32" s="35">
        <f>0+0.41+0.77+0.31+0.18+0.28</f>
        <v>1.95</v>
      </c>
    </row>
    <row r="33" spans="1:14" ht="18.75" customHeight="1" x14ac:dyDescent="0.25">
      <c r="A33" s="80">
        <f t="shared" si="1"/>
        <v>22</v>
      </c>
      <c r="B33" s="133" t="s">
        <v>68</v>
      </c>
      <c r="C33" s="33">
        <f>SUM(D33:K33)</f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</row>
    <row r="34" spans="1:14" ht="35.25" customHeight="1" x14ac:dyDescent="0.25">
      <c r="A34" s="80">
        <f t="shared" si="1"/>
        <v>23</v>
      </c>
      <c r="B34" s="133" t="s">
        <v>69</v>
      </c>
      <c r="C34" s="33">
        <f>SUM(D34:K34)</f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</row>
    <row r="35" spans="1:14" ht="37.5" customHeight="1" x14ac:dyDescent="0.25">
      <c r="A35" s="80">
        <f t="shared" si="1"/>
        <v>24</v>
      </c>
      <c r="B35" s="133" t="s">
        <v>292</v>
      </c>
      <c r="C35" s="33">
        <f>SUM(D35:K35)</f>
        <v>1066.2600000000002</v>
      </c>
      <c r="D35" s="33">
        <v>0</v>
      </c>
      <c r="E35" s="33">
        <f>'приложение 4'!J640</f>
        <v>0</v>
      </c>
      <c r="F35" s="33">
        <f>'приложение 4'!K640</f>
        <v>1066.2600000000002</v>
      </c>
      <c r="G35" s="33">
        <f>'приложение 4'!L640</f>
        <v>0</v>
      </c>
      <c r="H35" s="33">
        <f>'приложение 4'!M640</f>
        <v>0</v>
      </c>
      <c r="I35" s="33">
        <f>'приложение 4'!N640</f>
        <v>0</v>
      </c>
      <c r="J35" s="33">
        <f>'приложение 4'!O640</f>
        <v>0</v>
      </c>
      <c r="K35" s="33">
        <f>'приложение 4'!P640</f>
        <v>0</v>
      </c>
      <c r="L35" s="33">
        <f>'приложение 4'!Q640</f>
        <v>0</v>
      </c>
      <c r="M35" s="33">
        <f>'приложение 4'!R640</f>
        <v>0</v>
      </c>
    </row>
    <row r="36" spans="1:14" ht="56.25" x14ac:dyDescent="0.25">
      <c r="A36" s="80">
        <f t="shared" si="1"/>
        <v>25</v>
      </c>
      <c r="B36" s="79" t="s">
        <v>211</v>
      </c>
      <c r="C36" s="33">
        <f t="shared" ref="C36:C41" si="7">SUM(D36:K36)</f>
        <v>8775.2199999999993</v>
      </c>
      <c r="D36" s="33">
        <f t="shared" ref="D36:I36" si="8">D38+D39+D40+D41</f>
        <v>8775.2199999999993</v>
      </c>
      <c r="E36" s="33">
        <f t="shared" si="8"/>
        <v>0</v>
      </c>
      <c r="F36" s="33">
        <f t="shared" si="8"/>
        <v>0</v>
      </c>
      <c r="G36" s="33">
        <f t="shared" si="8"/>
        <v>0</v>
      </c>
      <c r="H36" s="33">
        <f t="shared" si="8"/>
        <v>0</v>
      </c>
      <c r="I36" s="33">
        <f t="shared" si="8"/>
        <v>0</v>
      </c>
      <c r="J36" s="33">
        <f>J38+J39+J40+J41</f>
        <v>0</v>
      </c>
      <c r="K36" s="33">
        <f>K38+K39+K40+K41</f>
        <v>0</v>
      </c>
      <c r="L36" s="33">
        <f>L38+L39+L40+L41</f>
        <v>0</v>
      </c>
      <c r="M36" s="33">
        <f>M38+M39+M40+M41</f>
        <v>0</v>
      </c>
    </row>
    <row r="37" spans="1:14" ht="18.75" customHeight="1" x14ac:dyDescent="0.25">
      <c r="A37" s="80">
        <f t="shared" si="1"/>
        <v>26</v>
      </c>
      <c r="B37" s="168" t="s">
        <v>66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62"/>
    </row>
    <row r="38" spans="1:14" x14ac:dyDescent="0.25">
      <c r="A38" s="80">
        <f t="shared" si="1"/>
        <v>27</v>
      </c>
      <c r="B38" s="133" t="s">
        <v>67</v>
      </c>
      <c r="C38" s="33">
        <f t="shared" si="7"/>
        <v>8775.2199999999993</v>
      </c>
      <c r="D38" s="33">
        <f>'приложение 4'!I701</f>
        <v>8775.2199999999993</v>
      </c>
      <c r="E38" s="33">
        <f>'приложение 4'!J701</f>
        <v>0</v>
      </c>
      <c r="F38" s="33">
        <f>'приложение 4'!K701</f>
        <v>0</v>
      </c>
      <c r="G38" s="33">
        <f>'приложение 4'!L701</f>
        <v>0</v>
      </c>
      <c r="H38" s="33">
        <f>'приложение 4'!L701</f>
        <v>0</v>
      </c>
      <c r="I38" s="33">
        <f>'приложение 4'!M701</f>
        <v>0</v>
      </c>
      <c r="J38" s="33">
        <f>'приложение 4'!N701</f>
        <v>0</v>
      </c>
      <c r="K38" s="33">
        <f>'приложение 4'!O701</f>
        <v>0</v>
      </c>
      <c r="L38" s="33">
        <f>'приложение 4'!P701</f>
        <v>0</v>
      </c>
      <c r="M38" s="33">
        <f>'приложение 4'!Q701</f>
        <v>0</v>
      </c>
    </row>
    <row r="39" spans="1:14" x14ac:dyDescent="0.25">
      <c r="A39" s="80">
        <f t="shared" si="1"/>
        <v>28</v>
      </c>
      <c r="B39" s="133" t="s">
        <v>68</v>
      </c>
      <c r="C39" s="33">
        <f t="shared" si="7"/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</row>
    <row r="40" spans="1:14" ht="37.5" x14ac:dyDescent="0.25">
      <c r="A40" s="80">
        <f t="shared" si="1"/>
        <v>29</v>
      </c>
      <c r="B40" s="133" t="s">
        <v>69</v>
      </c>
      <c r="C40" s="33">
        <f t="shared" si="7"/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</row>
    <row r="41" spans="1:14" ht="37.5" x14ac:dyDescent="0.25">
      <c r="A41" s="80">
        <f t="shared" si="1"/>
        <v>30</v>
      </c>
      <c r="B41" s="133" t="s">
        <v>70</v>
      </c>
      <c r="C41" s="33">
        <f t="shared" si="7"/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</row>
    <row r="42" spans="1:14" ht="56.25" x14ac:dyDescent="0.25">
      <c r="A42" s="80">
        <f t="shared" si="1"/>
        <v>31</v>
      </c>
      <c r="B42" s="79" t="s">
        <v>212</v>
      </c>
      <c r="C42" s="33">
        <f>SUM(D42:M42)</f>
        <v>769942.32099000004</v>
      </c>
      <c r="D42" s="33">
        <f t="shared" ref="D42:I42" si="9">D44+D45+D46+D47</f>
        <v>116870.21999999999</v>
      </c>
      <c r="E42" s="33">
        <f t="shared" si="9"/>
        <v>0</v>
      </c>
      <c r="F42" s="33">
        <f t="shared" si="9"/>
        <v>42650.324990000001</v>
      </c>
      <c r="G42" s="33">
        <f t="shared" si="9"/>
        <v>80898.570000000007</v>
      </c>
      <c r="H42" s="33">
        <f t="shared" si="9"/>
        <v>5788.9</v>
      </c>
      <c r="I42" s="33">
        <f t="shared" si="9"/>
        <v>103510.02</v>
      </c>
      <c r="J42" s="33">
        <f>J44+J45+J46+J47</f>
        <v>120224.28599999999</v>
      </c>
      <c r="K42" s="33">
        <f>K44+K45+K46+K47</f>
        <v>100000</v>
      </c>
      <c r="L42" s="33">
        <f>L44+L45+L46+L47</f>
        <v>100000</v>
      </c>
      <c r="M42" s="33">
        <f>M44+M45+M46+M47</f>
        <v>100000</v>
      </c>
      <c r="N42" s="35">
        <f>0.22+0.32+0.57+0.9+0.59+0.15</f>
        <v>2.7499999999999996</v>
      </c>
    </row>
    <row r="43" spans="1:14" ht="18.75" customHeight="1" x14ac:dyDescent="0.25">
      <c r="A43" s="80">
        <f t="shared" si="1"/>
        <v>32</v>
      </c>
      <c r="B43" s="168" t="s">
        <v>66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31"/>
      <c r="M43" s="62"/>
    </row>
    <row r="44" spans="1:14" x14ac:dyDescent="0.25">
      <c r="A44" s="80">
        <f t="shared" si="1"/>
        <v>33</v>
      </c>
      <c r="B44" s="133" t="s">
        <v>67</v>
      </c>
      <c r="C44" s="33">
        <f>SUM(D44:M44)</f>
        <v>769942.32099000004</v>
      </c>
      <c r="D44" s="33">
        <f>'приложение 4'!I702</f>
        <v>116870.21999999999</v>
      </c>
      <c r="E44" s="33">
        <f>'приложение 4'!J702</f>
        <v>0</v>
      </c>
      <c r="F44" s="33">
        <f>'приложение 4'!K702</f>
        <v>42650.324990000001</v>
      </c>
      <c r="G44" s="33">
        <f>'приложение 4'!L702</f>
        <v>80898.570000000007</v>
      </c>
      <c r="H44" s="33">
        <f>'приложение 4'!M702</f>
        <v>5788.9</v>
      </c>
      <c r="I44" s="33">
        <f>'приложение 4'!N702</f>
        <v>103510.02</v>
      </c>
      <c r="J44" s="33">
        <f>'приложение 4'!O702</f>
        <v>120224.28599999999</v>
      </c>
      <c r="K44" s="33">
        <f>'приложение 4'!P702</f>
        <v>100000</v>
      </c>
      <c r="L44" s="33">
        <f>'приложение 4'!Q702</f>
        <v>100000</v>
      </c>
      <c r="M44" s="33">
        <f>'приложение 4'!R702</f>
        <v>100000</v>
      </c>
    </row>
    <row r="45" spans="1:14" x14ac:dyDescent="0.25">
      <c r="A45" s="80">
        <f t="shared" si="1"/>
        <v>34</v>
      </c>
      <c r="B45" s="133" t="s">
        <v>68</v>
      </c>
      <c r="C45" s="33">
        <f>SUM(D45:K45)</f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</row>
    <row r="46" spans="1:14" ht="37.5" x14ac:dyDescent="0.25">
      <c r="A46" s="80">
        <f t="shared" si="1"/>
        <v>35</v>
      </c>
      <c r="B46" s="133" t="s">
        <v>69</v>
      </c>
      <c r="C46" s="33">
        <f>SUM(D46:K46)</f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</row>
    <row r="47" spans="1:14" ht="37.5" x14ac:dyDescent="0.25">
      <c r="A47" s="80">
        <f t="shared" si="1"/>
        <v>36</v>
      </c>
      <c r="B47" s="133" t="s">
        <v>70</v>
      </c>
      <c r="C47" s="33">
        <f>SUM(D47:K47)</f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</row>
    <row r="48" spans="1:14" ht="56.25" x14ac:dyDescent="0.25">
      <c r="A48" s="80">
        <f t="shared" si="1"/>
        <v>37</v>
      </c>
      <c r="B48" s="79" t="s">
        <v>276</v>
      </c>
      <c r="C48" s="33">
        <f>SUM(D48:K48)</f>
        <v>102365.81999999999</v>
      </c>
      <c r="D48" s="33">
        <f t="shared" ref="D48:J48" si="10">D50+D51+D52+D53</f>
        <v>0</v>
      </c>
      <c r="E48" s="33">
        <f t="shared" si="10"/>
        <v>0</v>
      </c>
      <c r="F48" s="33">
        <f t="shared" si="10"/>
        <v>0</v>
      </c>
      <c r="G48" s="33">
        <f t="shared" si="10"/>
        <v>0</v>
      </c>
      <c r="H48" s="33">
        <f t="shared" si="10"/>
        <v>102365.81999999999</v>
      </c>
      <c r="I48" s="33">
        <f t="shared" si="10"/>
        <v>0</v>
      </c>
      <c r="J48" s="33">
        <f t="shared" si="10"/>
        <v>0</v>
      </c>
      <c r="K48" s="33">
        <f>K50+K51+K52+K53</f>
        <v>0</v>
      </c>
      <c r="L48" s="33">
        <f>L50+L51+L52+L53</f>
        <v>0</v>
      </c>
      <c r="M48" s="33">
        <f>M50+M51+M52+M53</f>
        <v>0</v>
      </c>
    </row>
    <row r="49" spans="1:13" ht="18.75" customHeight="1" x14ac:dyDescent="0.25">
      <c r="A49" s="80">
        <f t="shared" si="1"/>
        <v>38</v>
      </c>
      <c r="B49" s="168" t="s">
        <v>66</v>
      </c>
      <c r="C49" s="168"/>
      <c r="D49" s="168"/>
      <c r="E49" s="168"/>
      <c r="F49" s="168"/>
      <c r="G49" s="168"/>
      <c r="H49" s="168"/>
      <c r="I49" s="168"/>
      <c r="J49" s="168"/>
      <c r="K49" s="168"/>
      <c r="L49" s="131"/>
      <c r="M49" s="62"/>
    </row>
    <row r="50" spans="1:13" x14ac:dyDescent="0.25">
      <c r="A50" s="80">
        <f t="shared" si="1"/>
        <v>39</v>
      </c>
      <c r="B50" s="133" t="s">
        <v>67</v>
      </c>
      <c r="C50" s="33">
        <f>SUM(D50:K50)</f>
        <v>102365.81999999999</v>
      </c>
      <c r="D50" s="33">
        <v>0</v>
      </c>
      <c r="E50" s="33">
        <v>0</v>
      </c>
      <c r="F50" s="33">
        <v>0</v>
      </c>
      <c r="G50" s="33">
        <v>0</v>
      </c>
      <c r="H50" s="33">
        <f>'приложение 4'!M723</f>
        <v>102365.81999999999</v>
      </c>
      <c r="I50" s="33">
        <f>'приложение 4'!N723</f>
        <v>0</v>
      </c>
      <c r="J50" s="33">
        <f>'приложение 4'!O723</f>
        <v>0</v>
      </c>
      <c r="K50" s="33">
        <f>'приложение 4'!P723</f>
        <v>0</v>
      </c>
      <c r="L50" s="33">
        <f>'приложение 4'!Q723</f>
        <v>0</v>
      </c>
      <c r="M50" s="33">
        <f>'приложение 4'!R723</f>
        <v>0</v>
      </c>
    </row>
    <row r="51" spans="1:13" x14ac:dyDescent="0.25">
      <c r="A51" s="80">
        <f t="shared" si="1"/>
        <v>40</v>
      </c>
      <c r="B51" s="133" t="s">
        <v>68</v>
      </c>
      <c r="C51" s="33">
        <f>SUM(D51:I51)</f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</row>
    <row r="52" spans="1:13" ht="37.5" x14ac:dyDescent="0.25">
      <c r="A52" s="80">
        <f t="shared" si="1"/>
        <v>41</v>
      </c>
      <c r="B52" s="133" t="s">
        <v>69</v>
      </c>
      <c r="C52" s="33">
        <f>SUM(D52:I52)</f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</row>
    <row r="53" spans="1:13" ht="37.5" x14ac:dyDescent="0.25">
      <c r="A53" s="80">
        <f t="shared" si="1"/>
        <v>42</v>
      </c>
      <c r="B53" s="133" t="s">
        <v>70</v>
      </c>
      <c r="C53" s="33">
        <f>SUM(D53:I53)</f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</row>
    <row r="54" spans="1:13" ht="64.5" customHeight="1" x14ac:dyDescent="0.25">
      <c r="A54" s="210" t="s">
        <v>291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130"/>
    </row>
    <row r="56" spans="1:13" x14ac:dyDescent="0.3">
      <c r="C56" s="39">
        <f>0.82+0.75+0.22+0.94+0.62+0.78</f>
        <v>4.13</v>
      </c>
    </row>
  </sheetData>
  <mergeCells count="18">
    <mergeCell ref="L7:M7"/>
    <mergeCell ref="H1:L1"/>
    <mergeCell ref="H2:L2"/>
    <mergeCell ref="B5:J6"/>
    <mergeCell ref="B4:K4"/>
    <mergeCell ref="C8:M8"/>
    <mergeCell ref="D9:M9"/>
    <mergeCell ref="A8:A10"/>
    <mergeCell ref="B8:B10"/>
    <mergeCell ref="A54:L54"/>
    <mergeCell ref="B37:L37"/>
    <mergeCell ref="B13:L13"/>
    <mergeCell ref="B19:K19"/>
    <mergeCell ref="B43:K43"/>
    <mergeCell ref="B31:K31"/>
    <mergeCell ref="B25:K25"/>
    <mergeCell ref="B49:K49"/>
    <mergeCell ref="C9:C10"/>
  </mergeCells>
  <pageMargins left="0.39370078740157483" right="0.39370078740157483" top="1.3779527559055118" bottom="0.39370078740157483" header="0.51181102362204722" footer="0.39370078740157483"/>
  <pageSetup paperSize="9" scale="73" firstPageNumber="30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26"/>
  <sheetViews>
    <sheetView view="pageBreakPreview" zoomScale="60" zoomScaleNormal="60" workbookViewId="0">
      <selection activeCell="J63" sqref="J63"/>
    </sheetView>
  </sheetViews>
  <sheetFormatPr defaultRowHeight="15" x14ac:dyDescent="0.25"/>
  <cols>
    <col min="1" max="1" width="14" bestFit="1" customWidth="1"/>
    <col min="2" max="2" width="59.140625" bestFit="1" customWidth="1"/>
    <col min="3" max="3" width="22.42578125" customWidth="1"/>
    <col min="4" max="4" width="16.42578125" hidden="1" customWidth="1"/>
    <col min="5" max="5" width="0" style="1" hidden="1" customWidth="1"/>
    <col min="6" max="6" width="16.42578125" hidden="1" customWidth="1"/>
    <col min="7" max="7" width="0" hidden="1" customWidth="1"/>
    <col min="8" max="8" width="17" customWidth="1"/>
    <col min="9" max="9" width="16.7109375" customWidth="1"/>
    <col min="10" max="10" width="16.42578125" customWidth="1"/>
    <col min="11" max="11" width="15.5703125" customWidth="1"/>
    <col min="13" max="13" width="19.5703125" bestFit="1" customWidth="1"/>
    <col min="17" max="17" width="16.28515625" style="2" customWidth="1"/>
  </cols>
  <sheetData>
    <row r="2" spans="1:13" x14ac:dyDescent="0.25">
      <c r="A2" s="225" t="s">
        <v>99</v>
      </c>
      <c r="B2" s="225"/>
      <c r="C2" s="225"/>
      <c r="D2" s="225"/>
      <c r="E2" s="225"/>
      <c r="F2" s="225"/>
      <c r="G2" s="225"/>
      <c r="H2" s="225"/>
      <c r="I2" s="225"/>
      <c r="J2" s="225"/>
    </row>
    <row r="4" spans="1:13" ht="93" customHeight="1" x14ac:dyDescent="0.25">
      <c r="A4" s="180" t="s">
        <v>0</v>
      </c>
      <c r="B4" s="180" t="s">
        <v>1</v>
      </c>
      <c r="C4" s="180" t="s">
        <v>2</v>
      </c>
      <c r="D4" s="180" t="s">
        <v>3</v>
      </c>
      <c r="E4" s="180"/>
      <c r="F4" s="180"/>
      <c r="G4" s="180"/>
      <c r="H4" s="180" t="s">
        <v>4</v>
      </c>
      <c r="I4" s="180"/>
      <c r="J4" s="180"/>
    </row>
    <row r="5" spans="1:13" ht="37.5" x14ac:dyDescent="0.25">
      <c r="A5" s="180"/>
      <c r="B5" s="180"/>
      <c r="C5" s="180"/>
      <c r="D5" s="18" t="s">
        <v>5</v>
      </c>
      <c r="E5" s="8" t="s">
        <v>6</v>
      </c>
      <c r="F5" s="18" t="s">
        <v>7</v>
      </c>
      <c r="G5" s="18" t="s">
        <v>8</v>
      </c>
      <c r="H5" s="18" t="s">
        <v>105</v>
      </c>
      <c r="I5" s="18" t="s">
        <v>103</v>
      </c>
      <c r="J5" s="18" t="s">
        <v>104</v>
      </c>
    </row>
    <row r="6" spans="1:13" ht="18.75" x14ac:dyDescent="0.25">
      <c r="A6" s="18">
        <v>1</v>
      </c>
      <c r="B6" s="18">
        <v>2</v>
      </c>
      <c r="C6" s="18">
        <v>3</v>
      </c>
      <c r="D6" s="18">
        <v>4</v>
      </c>
      <c r="E6" s="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</row>
    <row r="7" spans="1:13" ht="37.5" x14ac:dyDescent="0.35">
      <c r="A7" s="220" t="s">
        <v>9</v>
      </c>
      <c r="B7" s="220" t="s">
        <v>77</v>
      </c>
      <c r="C7" s="15" t="s">
        <v>10</v>
      </c>
      <c r="D7" s="18" t="s">
        <v>74</v>
      </c>
      <c r="E7" s="8" t="s">
        <v>74</v>
      </c>
      <c r="F7" s="18">
        <v>1000000000</v>
      </c>
      <c r="G7" s="18" t="s">
        <v>74</v>
      </c>
      <c r="H7" s="6">
        <f>SUM(H8:H12)</f>
        <v>4430599.1499999994</v>
      </c>
      <c r="I7" s="6">
        <f>SUM(I8:I12)</f>
        <v>4567824.9499999993</v>
      </c>
      <c r="J7" s="6">
        <f>'приложение 4'!I11</f>
        <v>2750542.1498699994</v>
      </c>
      <c r="M7" s="3">
        <v>3956926.43</v>
      </c>
    </row>
    <row r="8" spans="1:13" ht="56.25" x14ac:dyDescent="0.25">
      <c r="A8" s="220"/>
      <c r="B8" s="220"/>
      <c r="C8" s="15" t="s">
        <v>11</v>
      </c>
      <c r="D8" s="18">
        <v>915</v>
      </c>
      <c r="E8" s="8" t="s">
        <v>74</v>
      </c>
      <c r="F8" s="8" t="s">
        <v>74</v>
      </c>
      <c r="G8" s="8" t="s">
        <v>74</v>
      </c>
      <c r="H8" s="6">
        <f>H21+H61+H66+H111+H198</f>
        <v>4213532.25</v>
      </c>
      <c r="I8" s="6">
        <f>I21+I61+I66+I111+I198</f>
        <v>4108705.1199999996</v>
      </c>
      <c r="J8" s="6" t="e">
        <f>'приложение 4'!#REF!</f>
        <v>#REF!</v>
      </c>
      <c r="M8" s="2"/>
    </row>
    <row r="9" spans="1:13" ht="56.25" x14ac:dyDescent="0.25">
      <c r="A9" s="220"/>
      <c r="B9" s="220"/>
      <c r="C9" s="15" t="s">
        <v>75</v>
      </c>
      <c r="D9" s="18"/>
      <c r="E9" s="8"/>
      <c r="F9" s="8"/>
      <c r="G9" s="8"/>
      <c r="H9" s="6">
        <f>H67</f>
        <v>0</v>
      </c>
      <c r="I9" s="6">
        <f>I67</f>
        <v>9500</v>
      </c>
      <c r="J9" s="6">
        <f>J67</f>
        <v>0</v>
      </c>
      <c r="M9" s="2"/>
    </row>
    <row r="10" spans="1:13" ht="93.75" x14ac:dyDescent="0.25">
      <c r="A10" s="220"/>
      <c r="B10" s="220"/>
      <c r="C10" s="15" t="s">
        <v>76</v>
      </c>
      <c r="D10" s="18">
        <v>900</v>
      </c>
      <c r="E10" s="8" t="s">
        <v>74</v>
      </c>
      <c r="F10" s="8" t="s">
        <v>74</v>
      </c>
      <c r="G10" s="8" t="s">
        <v>74</v>
      </c>
      <c r="H10" s="6">
        <f>H199+H113</f>
        <v>33772.17</v>
      </c>
      <c r="I10" s="6">
        <f>I199+I113</f>
        <v>61331.710000000006</v>
      </c>
      <c r="J10" s="6" t="e">
        <f>'приложение 4'!#REF!</f>
        <v>#REF!</v>
      </c>
      <c r="M10" s="2"/>
    </row>
    <row r="11" spans="1:13" ht="75" x14ac:dyDescent="0.25">
      <c r="A11" s="220"/>
      <c r="B11" s="220"/>
      <c r="C11" s="15" t="s">
        <v>12</v>
      </c>
      <c r="D11" s="18">
        <v>912</v>
      </c>
      <c r="E11" s="8" t="s">
        <v>74</v>
      </c>
      <c r="F11" s="8" t="s">
        <v>74</v>
      </c>
      <c r="G11" s="8" t="s">
        <v>74</v>
      </c>
      <c r="H11" s="6">
        <f>H112</f>
        <v>2834.38</v>
      </c>
      <c r="I11" s="6">
        <f>I112</f>
        <v>2211</v>
      </c>
      <c r="J11" s="6" t="e">
        <f>'приложение 4'!#REF!</f>
        <v>#REF!</v>
      </c>
    </row>
    <row r="12" spans="1:13" ht="56.25" x14ac:dyDescent="0.25">
      <c r="A12" s="220"/>
      <c r="B12" s="220"/>
      <c r="C12" s="15" t="s">
        <v>13</v>
      </c>
      <c r="D12" s="8" t="s">
        <v>53</v>
      </c>
      <c r="E12" s="8" t="s">
        <v>74</v>
      </c>
      <c r="F12" s="8" t="s">
        <v>74</v>
      </c>
      <c r="G12" s="8" t="s">
        <v>74</v>
      </c>
      <c r="H12" s="6">
        <f t="shared" ref="H12:I19" si="0">H22+H68+H114</f>
        <v>180460.34999999998</v>
      </c>
      <c r="I12" s="6">
        <f t="shared" si="0"/>
        <v>386077.12</v>
      </c>
      <c r="J12" s="6">
        <f>'приложение 4'!I21</f>
        <v>343296.36</v>
      </c>
    </row>
    <row r="13" spans="1:13" ht="56.25" hidden="1" x14ac:dyDescent="0.25">
      <c r="A13" s="220"/>
      <c r="B13" s="220"/>
      <c r="C13" s="15" t="s">
        <v>14</v>
      </c>
      <c r="D13" s="18">
        <v>919</v>
      </c>
      <c r="E13" s="8" t="s">
        <v>74</v>
      </c>
      <c r="F13" s="8" t="s">
        <v>74</v>
      </c>
      <c r="G13" s="8" t="s">
        <v>74</v>
      </c>
      <c r="H13" s="6">
        <f t="shared" si="0"/>
        <v>26183.46</v>
      </c>
      <c r="I13" s="6">
        <f t="shared" si="0"/>
        <v>10</v>
      </c>
      <c r="J13" s="6">
        <f>'приложение 4'!I22</f>
        <v>32317.690000000002</v>
      </c>
    </row>
    <row r="14" spans="1:13" ht="56.25" hidden="1" x14ac:dyDescent="0.25">
      <c r="A14" s="220"/>
      <c r="B14" s="220"/>
      <c r="C14" s="15" t="s">
        <v>15</v>
      </c>
      <c r="D14" s="18">
        <v>922</v>
      </c>
      <c r="E14" s="8" t="s">
        <v>74</v>
      </c>
      <c r="F14" s="8" t="s">
        <v>74</v>
      </c>
      <c r="G14" s="8" t="s">
        <v>74</v>
      </c>
      <c r="H14" s="6">
        <f t="shared" si="0"/>
        <v>27502.660000000003</v>
      </c>
      <c r="I14" s="6">
        <f t="shared" si="0"/>
        <v>20</v>
      </c>
      <c r="J14" s="6">
        <f>'приложение 4'!I23</f>
        <v>41462.990000000005</v>
      </c>
    </row>
    <row r="15" spans="1:13" ht="56.25" hidden="1" x14ac:dyDescent="0.25">
      <c r="A15" s="220"/>
      <c r="B15" s="220"/>
      <c r="C15" s="15" t="s">
        <v>16</v>
      </c>
      <c r="D15" s="18">
        <v>925</v>
      </c>
      <c r="E15" s="8" t="s">
        <v>74</v>
      </c>
      <c r="F15" s="8" t="s">
        <v>74</v>
      </c>
      <c r="G15" s="8" t="s">
        <v>74</v>
      </c>
      <c r="H15" s="6">
        <f t="shared" si="0"/>
        <v>38383.299999999996</v>
      </c>
      <c r="I15" s="6">
        <f t="shared" si="0"/>
        <v>10</v>
      </c>
      <c r="J15" s="6">
        <f>'приложение 4'!I24</f>
        <v>47894.44999999999</v>
      </c>
    </row>
    <row r="16" spans="1:13" ht="56.25" hidden="1" x14ac:dyDescent="0.25">
      <c r="A16" s="220"/>
      <c r="B16" s="220"/>
      <c r="C16" s="15" t="s">
        <v>17</v>
      </c>
      <c r="D16" s="18">
        <v>928</v>
      </c>
      <c r="E16" s="8" t="s">
        <v>74</v>
      </c>
      <c r="F16" s="8" t="s">
        <v>74</v>
      </c>
      <c r="G16" s="8" t="s">
        <v>74</v>
      </c>
      <c r="H16" s="6">
        <f t="shared" si="0"/>
        <v>32535.73</v>
      </c>
      <c r="I16" s="6">
        <f t="shared" si="0"/>
        <v>10</v>
      </c>
      <c r="J16" s="6">
        <f>'приложение 4'!I25</f>
        <v>51048.850000000006</v>
      </c>
    </row>
    <row r="17" spans="1:10" ht="56.25" hidden="1" x14ac:dyDescent="0.25">
      <c r="A17" s="220"/>
      <c r="B17" s="220"/>
      <c r="C17" s="15" t="s">
        <v>18</v>
      </c>
      <c r="D17" s="18">
        <v>931</v>
      </c>
      <c r="E17" s="8" t="s">
        <v>74</v>
      </c>
      <c r="F17" s="8" t="s">
        <v>74</v>
      </c>
      <c r="G17" s="8" t="s">
        <v>74</v>
      </c>
      <c r="H17" s="6">
        <f t="shared" si="0"/>
        <v>39308.5</v>
      </c>
      <c r="I17" s="6">
        <f t="shared" si="0"/>
        <v>60</v>
      </c>
      <c r="J17" s="6">
        <f>'приложение 4'!I26</f>
        <v>96631.66</v>
      </c>
    </row>
    <row r="18" spans="1:10" ht="56.25" hidden="1" x14ac:dyDescent="0.25">
      <c r="A18" s="220"/>
      <c r="B18" s="220"/>
      <c r="C18" s="15" t="s">
        <v>19</v>
      </c>
      <c r="D18" s="18">
        <v>934</v>
      </c>
      <c r="E18" s="8" t="s">
        <v>74</v>
      </c>
      <c r="F18" s="8" t="s">
        <v>74</v>
      </c>
      <c r="G18" s="8" t="s">
        <v>74</v>
      </c>
      <c r="H18" s="6">
        <f t="shared" si="0"/>
        <v>52522.559999999998</v>
      </c>
      <c r="I18" s="6">
        <f t="shared" si="0"/>
        <v>50</v>
      </c>
      <c r="J18" s="6">
        <f>'приложение 4'!I27</f>
        <v>59448.299999999996</v>
      </c>
    </row>
    <row r="19" spans="1:10" ht="56.25" hidden="1" x14ac:dyDescent="0.25">
      <c r="A19" s="220"/>
      <c r="B19" s="220"/>
      <c r="C19" s="15" t="s">
        <v>20</v>
      </c>
      <c r="D19" s="18">
        <v>937</v>
      </c>
      <c r="E19" s="8" t="s">
        <v>74</v>
      </c>
      <c r="F19" s="8" t="s">
        <v>74</v>
      </c>
      <c r="G19" s="8" t="s">
        <v>74</v>
      </c>
      <c r="H19" s="6">
        <f t="shared" si="0"/>
        <v>20763.79</v>
      </c>
      <c r="I19" s="6">
        <f t="shared" si="0"/>
        <v>40</v>
      </c>
      <c r="J19" s="6">
        <f>'приложение 4'!I28</f>
        <v>14492.42</v>
      </c>
    </row>
    <row r="20" spans="1:10" ht="37.5" x14ac:dyDescent="0.25">
      <c r="A20" s="224" t="s">
        <v>21</v>
      </c>
      <c r="B20" s="220" t="s">
        <v>22</v>
      </c>
      <c r="C20" s="15" t="s">
        <v>10</v>
      </c>
      <c r="D20" s="18"/>
      <c r="E20" s="8" t="s">
        <v>74</v>
      </c>
      <c r="F20" s="18">
        <v>1010000000</v>
      </c>
      <c r="G20" s="18" t="s">
        <v>74</v>
      </c>
      <c r="H20" s="6">
        <f>SUM(H21:H22)</f>
        <v>1181348.31</v>
      </c>
      <c r="I20" s="6">
        <f>SUM(I21:I22)</f>
        <v>1432130.81</v>
      </c>
      <c r="J20" s="6" t="e">
        <f>'приложение 4'!#REF!</f>
        <v>#REF!</v>
      </c>
    </row>
    <row r="21" spans="1:10" ht="56.25" x14ac:dyDescent="0.25">
      <c r="A21" s="224"/>
      <c r="B21" s="220"/>
      <c r="C21" s="15" t="s">
        <v>11</v>
      </c>
      <c r="D21" s="18">
        <v>915</v>
      </c>
      <c r="E21" s="8" t="s">
        <v>74</v>
      </c>
      <c r="F21" s="18" t="s">
        <v>74</v>
      </c>
      <c r="G21" s="18" t="s">
        <v>74</v>
      </c>
      <c r="H21" s="6">
        <f>H41+H59+H42+H30</f>
        <v>1086632.6100000001</v>
      </c>
      <c r="I21" s="6">
        <f>I41+I59+I42</f>
        <v>1164077.04</v>
      </c>
      <c r="J21" s="6" t="e">
        <f>J41+J42+J59</f>
        <v>#REF!</v>
      </c>
    </row>
    <row r="22" spans="1:10" ht="56.25" x14ac:dyDescent="0.25">
      <c r="A22" s="224"/>
      <c r="B22" s="220"/>
      <c r="C22" s="15" t="s">
        <v>13</v>
      </c>
      <c r="D22" s="8" t="s">
        <v>53</v>
      </c>
      <c r="E22" s="8" t="s">
        <v>74</v>
      </c>
      <c r="F22" s="18" t="s">
        <v>74</v>
      </c>
      <c r="G22" s="18" t="s">
        <v>74</v>
      </c>
      <c r="H22" s="6">
        <f>H31+H32+H33+H43+H51</f>
        <v>94715.7</v>
      </c>
      <c r="I22" s="6">
        <f>I31+I32+I33+I43+I51</f>
        <v>268053.77</v>
      </c>
      <c r="J22" s="6" t="e">
        <f>J31+J32+J33+J43+J51</f>
        <v>#REF!</v>
      </c>
    </row>
    <row r="23" spans="1:10" ht="56.25" hidden="1" x14ac:dyDescent="0.25">
      <c r="A23" s="224"/>
      <c r="B23" s="220"/>
      <c r="C23" s="15" t="s">
        <v>23</v>
      </c>
      <c r="D23" s="18">
        <v>919</v>
      </c>
      <c r="E23" s="8" t="s">
        <v>74</v>
      </c>
      <c r="F23" s="18" t="s">
        <v>74</v>
      </c>
      <c r="G23" s="18" t="s">
        <v>74</v>
      </c>
      <c r="H23" s="6">
        <f t="shared" ref="H23:I29" si="1">H34+H52+H44</f>
        <v>20634.03</v>
      </c>
      <c r="I23" s="6">
        <f t="shared" si="1"/>
        <v>10</v>
      </c>
      <c r="J23" s="6" t="e">
        <f>'приложение 4'!#REF!</f>
        <v>#REF!</v>
      </c>
    </row>
    <row r="24" spans="1:10" ht="56.25" hidden="1" x14ac:dyDescent="0.25">
      <c r="A24" s="224"/>
      <c r="B24" s="220"/>
      <c r="C24" s="15" t="s">
        <v>24</v>
      </c>
      <c r="D24" s="18">
        <v>922</v>
      </c>
      <c r="E24" s="8" t="s">
        <v>74</v>
      </c>
      <c r="F24" s="18" t="s">
        <v>74</v>
      </c>
      <c r="G24" s="18" t="s">
        <v>74</v>
      </c>
      <c r="H24" s="6">
        <f t="shared" si="1"/>
        <v>21694.240000000002</v>
      </c>
      <c r="I24" s="6">
        <f t="shared" si="1"/>
        <v>20</v>
      </c>
      <c r="J24" s="6" t="e">
        <f>'приложение 4'!#REF!</f>
        <v>#REF!</v>
      </c>
    </row>
    <row r="25" spans="1:10" ht="56.25" hidden="1" x14ac:dyDescent="0.25">
      <c r="A25" s="224"/>
      <c r="B25" s="220"/>
      <c r="C25" s="15" t="s">
        <v>25</v>
      </c>
      <c r="D25" s="18">
        <v>925</v>
      </c>
      <c r="E25" s="8" t="s">
        <v>74</v>
      </c>
      <c r="F25" s="18" t="s">
        <v>74</v>
      </c>
      <c r="G25" s="18" t="s">
        <v>74</v>
      </c>
      <c r="H25" s="6">
        <f t="shared" si="1"/>
        <v>26591.699999999997</v>
      </c>
      <c r="I25" s="6">
        <f t="shared" si="1"/>
        <v>10</v>
      </c>
      <c r="J25" s="6" t="e">
        <f>'приложение 4'!#REF!</f>
        <v>#REF!</v>
      </c>
    </row>
    <row r="26" spans="1:10" ht="56.25" hidden="1" x14ac:dyDescent="0.25">
      <c r="A26" s="224"/>
      <c r="B26" s="220"/>
      <c r="C26" s="15" t="s">
        <v>26</v>
      </c>
      <c r="D26" s="18">
        <v>928</v>
      </c>
      <c r="E26" s="8" t="s">
        <v>74</v>
      </c>
      <c r="F26" s="18" t="s">
        <v>74</v>
      </c>
      <c r="G26" s="18" t="s">
        <v>74</v>
      </c>
      <c r="H26" s="6">
        <f t="shared" si="1"/>
        <v>19535.23</v>
      </c>
      <c r="I26" s="6">
        <f t="shared" si="1"/>
        <v>10</v>
      </c>
      <c r="J26" s="6" t="e">
        <f>'приложение 4'!#REF!</f>
        <v>#REF!</v>
      </c>
    </row>
    <row r="27" spans="1:10" ht="56.25" hidden="1" x14ac:dyDescent="0.25">
      <c r="A27" s="224"/>
      <c r="B27" s="220"/>
      <c r="C27" s="15" t="s">
        <v>27</v>
      </c>
      <c r="D27" s="18">
        <v>931</v>
      </c>
      <c r="E27" s="8" t="s">
        <v>74</v>
      </c>
      <c r="F27" s="18" t="s">
        <v>74</v>
      </c>
      <c r="G27" s="18" t="s">
        <v>74</v>
      </c>
      <c r="H27" s="6">
        <f t="shared" si="1"/>
        <v>27675.95</v>
      </c>
      <c r="I27" s="6">
        <f t="shared" si="1"/>
        <v>60</v>
      </c>
      <c r="J27" s="6" t="e">
        <f>'приложение 4'!#REF!</f>
        <v>#REF!</v>
      </c>
    </row>
    <row r="28" spans="1:10" ht="56.25" hidden="1" x14ac:dyDescent="0.25">
      <c r="A28" s="224"/>
      <c r="B28" s="220"/>
      <c r="C28" s="15" t="s">
        <v>28</v>
      </c>
      <c r="D28" s="18">
        <v>934</v>
      </c>
      <c r="E28" s="8" t="s">
        <v>74</v>
      </c>
      <c r="F28" s="18" t="s">
        <v>74</v>
      </c>
      <c r="G28" s="18" t="s">
        <v>74</v>
      </c>
      <c r="H28" s="6">
        <f t="shared" si="1"/>
        <v>23097.46</v>
      </c>
      <c r="I28" s="6">
        <f t="shared" si="1"/>
        <v>50</v>
      </c>
      <c r="J28" s="6" t="e">
        <f>'приложение 4'!#REF!</f>
        <v>#REF!</v>
      </c>
    </row>
    <row r="29" spans="1:10" ht="56.25" hidden="1" x14ac:dyDescent="0.25">
      <c r="A29" s="224"/>
      <c r="B29" s="220"/>
      <c r="C29" s="15" t="s">
        <v>29</v>
      </c>
      <c r="D29" s="18">
        <v>937</v>
      </c>
      <c r="E29" s="8" t="s">
        <v>74</v>
      </c>
      <c r="F29" s="18" t="s">
        <v>74</v>
      </c>
      <c r="G29" s="18" t="s">
        <v>74</v>
      </c>
      <c r="H29" s="6">
        <f t="shared" si="1"/>
        <v>9320.2900000000009</v>
      </c>
      <c r="I29" s="6">
        <f t="shared" si="1"/>
        <v>40</v>
      </c>
      <c r="J29" s="6" t="e">
        <f>'приложение 4'!#REF!</f>
        <v>#REF!</v>
      </c>
    </row>
    <row r="30" spans="1:10" ht="56.25" x14ac:dyDescent="0.25">
      <c r="A30" s="16"/>
      <c r="B30" s="15" t="s">
        <v>109</v>
      </c>
      <c r="C30" s="17" t="s">
        <v>30</v>
      </c>
      <c r="D30" s="18"/>
      <c r="E30" s="8"/>
      <c r="F30" s="18"/>
      <c r="G30" s="18"/>
      <c r="H30" s="6">
        <v>69130.02</v>
      </c>
      <c r="I30" s="6">
        <v>0</v>
      </c>
      <c r="J30" s="6" t="e">
        <f>'приложение 4'!#REF!</f>
        <v>#REF!</v>
      </c>
    </row>
    <row r="31" spans="1:10" ht="37.5" x14ac:dyDescent="0.25">
      <c r="A31" s="15"/>
      <c r="B31" s="15" t="s">
        <v>110</v>
      </c>
      <c r="C31" s="15" t="s">
        <v>31</v>
      </c>
      <c r="D31" s="18"/>
      <c r="E31" s="8"/>
      <c r="F31" s="18"/>
      <c r="G31" s="18"/>
      <c r="H31" s="6">
        <v>15871.2</v>
      </c>
      <c r="I31" s="6">
        <v>8663.64</v>
      </c>
      <c r="J31" s="6">
        <v>0</v>
      </c>
    </row>
    <row r="32" spans="1:10" ht="37.5" x14ac:dyDescent="0.25">
      <c r="A32" s="16"/>
      <c r="B32" s="15" t="s">
        <v>111</v>
      </c>
      <c r="C32" s="15" t="s">
        <v>31</v>
      </c>
      <c r="D32" s="18"/>
      <c r="E32" s="8"/>
      <c r="F32" s="18"/>
      <c r="G32" s="18"/>
      <c r="H32" s="6">
        <v>6925.93</v>
      </c>
      <c r="I32" s="6">
        <v>750</v>
      </c>
      <c r="J32" s="6">
        <v>0</v>
      </c>
    </row>
    <row r="33" spans="1:11" ht="110.25" customHeight="1" x14ac:dyDescent="0.25">
      <c r="A33" s="220"/>
      <c r="B33" s="220" t="s">
        <v>115</v>
      </c>
      <c r="C33" s="15" t="s">
        <v>31</v>
      </c>
      <c r="D33" s="8" t="s">
        <v>53</v>
      </c>
      <c r="E33" s="8" t="s">
        <v>74</v>
      </c>
      <c r="F33" s="18" t="s">
        <v>74</v>
      </c>
      <c r="G33" s="18" t="s">
        <v>74</v>
      </c>
      <c r="H33" s="6">
        <v>63159.72</v>
      </c>
      <c r="I33" s="6">
        <v>112401.1</v>
      </c>
      <c r="J33" s="6" t="e">
        <f>'приложение 4'!#REF!</f>
        <v>#REF!</v>
      </c>
      <c r="K33" s="19">
        <v>148348.9</v>
      </c>
    </row>
    <row r="34" spans="1:11" ht="56.25" hidden="1" x14ac:dyDescent="0.25">
      <c r="A34" s="220"/>
      <c r="B34" s="220"/>
      <c r="C34" s="15" t="s">
        <v>23</v>
      </c>
      <c r="D34" s="18">
        <v>919</v>
      </c>
      <c r="E34" s="8" t="s">
        <v>56</v>
      </c>
      <c r="F34" s="8" t="s">
        <v>97</v>
      </c>
      <c r="G34" s="18">
        <v>810</v>
      </c>
      <c r="H34" s="6">
        <v>20624.03</v>
      </c>
      <c r="I34" s="6">
        <v>0</v>
      </c>
      <c r="J34" s="6" t="e">
        <f>'приложение 4'!#REF!</f>
        <v>#REF!</v>
      </c>
    </row>
    <row r="35" spans="1:11" ht="56.25" hidden="1" x14ac:dyDescent="0.25">
      <c r="A35" s="220"/>
      <c r="B35" s="220"/>
      <c r="C35" s="15" t="s">
        <v>24</v>
      </c>
      <c r="D35" s="18">
        <v>922</v>
      </c>
      <c r="E35" s="8" t="s">
        <v>56</v>
      </c>
      <c r="F35" s="8" t="s">
        <v>97</v>
      </c>
      <c r="G35" s="18">
        <v>810</v>
      </c>
      <c r="H35" s="6">
        <v>21674.240000000002</v>
      </c>
      <c r="I35" s="6">
        <v>0</v>
      </c>
      <c r="J35" s="6" t="e">
        <f>'приложение 4'!#REF!</f>
        <v>#REF!</v>
      </c>
    </row>
    <row r="36" spans="1:11" ht="56.25" hidden="1" x14ac:dyDescent="0.25">
      <c r="A36" s="220"/>
      <c r="B36" s="220"/>
      <c r="C36" s="15" t="s">
        <v>25</v>
      </c>
      <c r="D36" s="18">
        <v>925</v>
      </c>
      <c r="E36" s="8" t="s">
        <v>56</v>
      </c>
      <c r="F36" s="8" t="s">
        <v>97</v>
      </c>
      <c r="G36" s="18">
        <v>810</v>
      </c>
      <c r="H36" s="20">
        <f>29315.92-2734.22</f>
        <v>26581.699999999997</v>
      </c>
      <c r="I36" s="6">
        <v>0</v>
      </c>
      <c r="J36" s="6" t="e">
        <f>'приложение 4'!#REF!</f>
        <v>#REF!</v>
      </c>
    </row>
    <row r="37" spans="1:11" ht="56.25" hidden="1" x14ac:dyDescent="0.25">
      <c r="A37" s="220"/>
      <c r="B37" s="220"/>
      <c r="C37" s="15" t="s">
        <v>26</v>
      </c>
      <c r="D37" s="18">
        <v>928</v>
      </c>
      <c r="E37" s="8" t="s">
        <v>56</v>
      </c>
      <c r="F37" s="8" t="s">
        <v>97</v>
      </c>
      <c r="G37" s="18">
        <v>810</v>
      </c>
      <c r="H37" s="6">
        <v>19525.23</v>
      </c>
      <c r="I37" s="6">
        <v>0</v>
      </c>
      <c r="J37" s="6" t="e">
        <f>'приложение 4'!#REF!</f>
        <v>#REF!</v>
      </c>
    </row>
    <row r="38" spans="1:11" ht="56.25" hidden="1" x14ac:dyDescent="0.25">
      <c r="A38" s="220"/>
      <c r="B38" s="220"/>
      <c r="C38" s="15" t="s">
        <v>27</v>
      </c>
      <c r="D38" s="18">
        <v>931</v>
      </c>
      <c r="E38" s="8" t="s">
        <v>56</v>
      </c>
      <c r="F38" s="8" t="s">
        <v>97</v>
      </c>
      <c r="G38" s="18">
        <v>810</v>
      </c>
      <c r="H38" s="6">
        <v>27615.95</v>
      </c>
      <c r="I38" s="6">
        <v>0</v>
      </c>
      <c r="J38" s="6" t="e">
        <f>'приложение 4'!#REF!</f>
        <v>#REF!</v>
      </c>
    </row>
    <row r="39" spans="1:11" ht="56.25" hidden="1" x14ac:dyDescent="0.25">
      <c r="A39" s="220"/>
      <c r="B39" s="220"/>
      <c r="C39" s="15" t="s">
        <v>28</v>
      </c>
      <c r="D39" s="18">
        <v>934</v>
      </c>
      <c r="E39" s="8" t="s">
        <v>56</v>
      </c>
      <c r="F39" s="8" t="s">
        <v>97</v>
      </c>
      <c r="G39" s="18">
        <v>810</v>
      </c>
      <c r="H39" s="6">
        <v>23047.46</v>
      </c>
      <c r="I39" s="6">
        <v>0</v>
      </c>
      <c r="J39" s="6" t="e">
        <f>'приложение 4'!#REF!</f>
        <v>#REF!</v>
      </c>
    </row>
    <row r="40" spans="1:11" ht="56.25" hidden="1" x14ac:dyDescent="0.25">
      <c r="A40" s="220"/>
      <c r="B40" s="220"/>
      <c r="C40" s="15" t="s">
        <v>29</v>
      </c>
      <c r="D40" s="18">
        <v>937</v>
      </c>
      <c r="E40" s="8" t="s">
        <v>56</v>
      </c>
      <c r="F40" s="8" t="s">
        <v>97</v>
      </c>
      <c r="G40" s="18">
        <v>810</v>
      </c>
      <c r="H40" s="6">
        <v>9280.2900000000009</v>
      </c>
      <c r="I40" s="6">
        <v>0</v>
      </c>
      <c r="J40" s="6" t="e">
        <f>'приложение 4'!#REF!</f>
        <v>#REF!</v>
      </c>
    </row>
    <row r="41" spans="1:11" ht="56.25" x14ac:dyDescent="0.25">
      <c r="A41" s="15"/>
      <c r="B41" s="15" t="s">
        <v>112</v>
      </c>
      <c r="C41" s="15" t="s">
        <v>30</v>
      </c>
      <c r="D41" s="18">
        <v>915</v>
      </c>
      <c r="E41" s="8" t="s">
        <v>54</v>
      </c>
      <c r="F41" s="18">
        <v>1010083060</v>
      </c>
      <c r="G41" s="18">
        <v>810</v>
      </c>
      <c r="H41" s="6">
        <v>137056.54</v>
      </c>
      <c r="I41" s="6">
        <v>103518.83</v>
      </c>
      <c r="J41" s="6" t="e">
        <f>'приложение 4'!#REF!</f>
        <v>#REF!</v>
      </c>
    </row>
    <row r="42" spans="1:11" ht="56.25" customHeight="1" x14ac:dyDescent="0.25">
      <c r="A42" s="17"/>
      <c r="B42" s="17" t="s">
        <v>113</v>
      </c>
      <c r="C42" s="17" t="s">
        <v>30</v>
      </c>
      <c r="D42" s="18">
        <v>915</v>
      </c>
      <c r="E42" s="8" t="s">
        <v>57</v>
      </c>
      <c r="F42" s="18">
        <v>1010075700</v>
      </c>
      <c r="G42" s="18">
        <v>810</v>
      </c>
      <c r="H42" s="6">
        <v>880446.05</v>
      </c>
      <c r="I42" s="6">
        <v>1060305.7</v>
      </c>
      <c r="J42" s="6" t="e">
        <f>'приложение 4'!#REF!</f>
        <v>#REF!</v>
      </c>
    </row>
    <row r="43" spans="1:11" ht="56.25" x14ac:dyDescent="0.25">
      <c r="A43" s="221"/>
      <c r="B43" s="221" t="s">
        <v>114</v>
      </c>
      <c r="C43" s="15" t="s">
        <v>31</v>
      </c>
      <c r="D43" s="8" t="s">
        <v>53</v>
      </c>
      <c r="E43" s="8" t="s">
        <v>55</v>
      </c>
      <c r="F43" s="18">
        <v>1010083030</v>
      </c>
      <c r="G43" s="18">
        <v>243</v>
      </c>
      <c r="H43" s="6">
        <v>8756.2000000000007</v>
      </c>
      <c r="I43" s="6">
        <v>145819.03</v>
      </c>
      <c r="J43" s="6" t="e">
        <f>'приложение 4'!#REF!</f>
        <v>#REF!</v>
      </c>
    </row>
    <row r="44" spans="1:11" ht="56.25" hidden="1" customHeight="1" x14ac:dyDescent="0.25">
      <c r="A44" s="222"/>
      <c r="B44" s="222"/>
      <c r="C44" s="15" t="s">
        <v>23</v>
      </c>
      <c r="D44" s="18">
        <v>919</v>
      </c>
      <c r="E44" s="8" t="s">
        <v>55</v>
      </c>
      <c r="F44" s="18">
        <v>1010083030</v>
      </c>
      <c r="G44" s="18">
        <v>243</v>
      </c>
      <c r="H44" s="6"/>
      <c r="I44" s="6"/>
      <c r="J44" s="6" t="e">
        <f>'приложение 4'!#REF!</f>
        <v>#REF!</v>
      </c>
    </row>
    <row r="45" spans="1:11" ht="56.25" hidden="1" customHeight="1" x14ac:dyDescent="0.25">
      <c r="A45" s="222"/>
      <c r="B45" s="222"/>
      <c r="C45" s="15" t="s">
        <v>24</v>
      </c>
      <c r="D45" s="18">
        <v>922</v>
      </c>
      <c r="E45" s="8" t="s">
        <v>55</v>
      </c>
      <c r="F45" s="18">
        <v>1010083030</v>
      </c>
      <c r="G45" s="18">
        <v>243</v>
      </c>
      <c r="H45" s="6"/>
      <c r="I45" s="6"/>
      <c r="J45" s="6" t="e">
        <f>'приложение 4'!#REF!</f>
        <v>#REF!</v>
      </c>
    </row>
    <row r="46" spans="1:11" ht="56.25" hidden="1" customHeight="1" x14ac:dyDescent="0.25">
      <c r="A46" s="222"/>
      <c r="B46" s="222"/>
      <c r="C46" s="15" t="s">
        <v>25</v>
      </c>
      <c r="D46" s="18">
        <v>925</v>
      </c>
      <c r="E46" s="8" t="s">
        <v>55</v>
      </c>
      <c r="F46" s="18">
        <v>1010083030</v>
      </c>
      <c r="G46" s="18">
        <v>243</v>
      </c>
      <c r="H46" s="6"/>
      <c r="I46" s="6"/>
      <c r="J46" s="6" t="e">
        <f>'приложение 4'!#REF!</f>
        <v>#REF!</v>
      </c>
    </row>
    <row r="47" spans="1:11" ht="56.25" hidden="1" customHeight="1" x14ac:dyDescent="0.25">
      <c r="A47" s="222"/>
      <c r="B47" s="222"/>
      <c r="C47" s="15" t="s">
        <v>26</v>
      </c>
      <c r="D47" s="18">
        <v>928</v>
      </c>
      <c r="E47" s="8" t="s">
        <v>55</v>
      </c>
      <c r="F47" s="18">
        <v>1010083030</v>
      </c>
      <c r="G47" s="18">
        <v>243</v>
      </c>
      <c r="H47" s="6"/>
      <c r="I47" s="6"/>
      <c r="J47" s="6" t="e">
        <f>'приложение 4'!#REF!</f>
        <v>#REF!</v>
      </c>
    </row>
    <row r="48" spans="1:11" ht="56.25" hidden="1" customHeight="1" x14ac:dyDescent="0.25">
      <c r="A48" s="222"/>
      <c r="B48" s="222"/>
      <c r="C48" s="15" t="s">
        <v>27</v>
      </c>
      <c r="D48" s="18">
        <v>931</v>
      </c>
      <c r="E48" s="8" t="s">
        <v>55</v>
      </c>
      <c r="F48" s="18">
        <v>1010083030</v>
      </c>
      <c r="G48" s="18">
        <v>243</v>
      </c>
      <c r="H48" s="6"/>
      <c r="I48" s="6"/>
      <c r="J48" s="6" t="e">
        <f>'приложение 4'!#REF!</f>
        <v>#REF!</v>
      </c>
    </row>
    <row r="49" spans="1:10" ht="56.25" hidden="1" customHeight="1" x14ac:dyDescent="0.25">
      <c r="A49" s="222"/>
      <c r="B49" s="222"/>
      <c r="C49" s="15" t="s">
        <v>28</v>
      </c>
      <c r="D49" s="18">
        <v>934</v>
      </c>
      <c r="E49" s="8" t="s">
        <v>55</v>
      </c>
      <c r="F49" s="18">
        <v>1010083030</v>
      </c>
      <c r="G49" s="18">
        <v>243</v>
      </c>
      <c r="H49" s="6"/>
      <c r="I49" s="6"/>
      <c r="J49" s="6" t="e">
        <f>'приложение 4'!#REF!</f>
        <v>#REF!</v>
      </c>
    </row>
    <row r="50" spans="1:10" ht="56.25" hidden="1" customHeight="1" x14ac:dyDescent="0.25">
      <c r="A50" s="223"/>
      <c r="B50" s="223"/>
      <c r="C50" s="15" t="s">
        <v>29</v>
      </c>
      <c r="D50" s="18">
        <v>937</v>
      </c>
      <c r="E50" s="8" t="s">
        <v>55</v>
      </c>
      <c r="F50" s="18">
        <v>1010083030</v>
      </c>
      <c r="G50" s="18">
        <v>243</v>
      </c>
      <c r="H50" s="6"/>
      <c r="I50" s="6"/>
      <c r="J50" s="6" t="e">
        <f>'приложение 4'!#REF!</f>
        <v>#REF!</v>
      </c>
    </row>
    <row r="51" spans="1:10" ht="56.25" x14ac:dyDescent="0.25">
      <c r="A51" s="220"/>
      <c r="B51" s="220" t="s">
        <v>32</v>
      </c>
      <c r="C51" s="15" t="s">
        <v>31</v>
      </c>
      <c r="D51" s="8" t="s">
        <v>53</v>
      </c>
      <c r="E51" s="8" t="s">
        <v>74</v>
      </c>
      <c r="F51" s="18" t="s">
        <v>74</v>
      </c>
      <c r="G51" s="18" t="s">
        <v>74</v>
      </c>
      <c r="H51" s="6">
        <v>2.65</v>
      </c>
      <c r="I51" s="6">
        <v>420</v>
      </c>
      <c r="J51" s="6" t="e">
        <f>'приложение 4'!#REF!</f>
        <v>#REF!</v>
      </c>
    </row>
    <row r="52" spans="1:10" ht="56.25" hidden="1" x14ac:dyDescent="0.25">
      <c r="A52" s="220"/>
      <c r="B52" s="220"/>
      <c r="C52" s="15" t="s">
        <v>23</v>
      </c>
      <c r="D52" s="18">
        <v>919</v>
      </c>
      <c r="E52" s="8" t="s">
        <v>55</v>
      </c>
      <c r="F52" s="18">
        <v>1010083070</v>
      </c>
      <c r="G52" s="18">
        <v>244</v>
      </c>
      <c r="H52" s="6">
        <v>10</v>
      </c>
      <c r="I52" s="6">
        <v>10</v>
      </c>
      <c r="J52" s="6" t="e">
        <f>'приложение 4'!#REF!</f>
        <v>#REF!</v>
      </c>
    </row>
    <row r="53" spans="1:10" ht="56.25" hidden="1" x14ac:dyDescent="0.25">
      <c r="A53" s="220"/>
      <c r="B53" s="220"/>
      <c r="C53" s="15" t="s">
        <v>24</v>
      </c>
      <c r="D53" s="18">
        <v>922</v>
      </c>
      <c r="E53" s="8" t="s">
        <v>55</v>
      </c>
      <c r="F53" s="18">
        <v>1010083070</v>
      </c>
      <c r="G53" s="18">
        <v>244</v>
      </c>
      <c r="H53" s="6">
        <v>20</v>
      </c>
      <c r="I53" s="6">
        <v>20</v>
      </c>
      <c r="J53" s="6" t="e">
        <f>'приложение 4'!#REF!</f>
        <v>#REF!</v>
      </c>
    </row>
    <row r="54" spans="1:10" ht="56.25" hidden="1" x14ac:dyDescent="0.25">
      <c r="A54" s="220"/>
      <c r="B54" s="220"/>
      <c r="C54" s="15" t="s">
        <v>25</v>
      </c>
      <c r="D54" s="18">
        <v>925</v>
      </c>
      <c r="E54" s="8" t="s">
        <v>55</v>
      </c>
      <c r="F54" s="18">
        <v>1010083070</v>
      </c>
      <c r="G54" s="18">
        <v>244</v>
      </c>
      <c r="H54" s="6">
        <v>10</v>
      </c>
      <c r="I54" s="6">
        <v>10</v>
      </c>
      <c r="J54" s="6" t="e">
        <f>'приложение 4'!#REF!</f>
        <v>#REF!</v>
      </c>
    </row>
    <row r="55" spans="1:10" ht="56.25" hidden="1" x14ac:dyDescent="0.25">
      <c r="A55" s="220"/>
      <c r="B55" s="220"/>
      <c r="C55" s="15" t="s">
        <v>26</v>
      </c>
      <c r="D55" s="18">
        <v>928</v>
      </c>
      <c r="E55" s="8" t="s">
        <v>55</v>
      </c>
      <c r="F55" s="18">
        <v>1010083070</v>
      </c>
      <c r="G55" s="18">
        <v>244</v>
      </c>
      <c r="H55" s="6">
        <v>10</v>
      </c>
      <c r="I55" s="6">
        <v>10</v>
      </c>
      <c r="J55" s="6" t="e">
        <f>'приложение 4'!#REF!</f>
        <v>#REF!</v>
      </c>
    </row>
    <row r="56" spans="1:10" ht="56.25" hidden="1" x14ac:dyDescent="0.25">
      <c r="A56" s="220"/>
      <c r="B56" s="220"/>
      <c r="C56" s="15" t="s">
        <v>27</v>
      </c>
      <c r="D56" s="18">
        <v>931</v>
      </c>
      <c r="E56" s="8" t="s">
        <v>55</v>
      </c>
      <c r="F56" s="18">
        <v>1010083070</v>
      </c>
      <c r="G56" s="18">
        <v>244</v>
      </c>
      <c r="H56" s="6">
        <v>60</v>
      </c>
      <c r="I56" s="6">
        <v>60</v>
      </c>
      <c r="J56" s="6" t="e">
        <f>'приложение 4'!#REF!</f>
        <v>#REF!</v>
      </c>
    </row>
    <row r="57" spans="1:10" ht="56.25" hidden="1" x14ac:dyDescent="0.25">
      <c r="A57" s="220"/>
      <c r="B57" s="220"/>
      <c r="C57" s="15" t="s">
        <v>28</v>
      </c>
      <c r="D57" s="18">
        <v>934</v>
      </c>
      <c r="E57" s="8" t="s">
        <v>55</v>
      </c>
      <c r="F57" s="18">
        <v>1010083070</v>
      </c>
      <c r="G57" s="18">
        <v>244</v>
      </c>
      <c r="H57" s="6">
        <v>50</v>
      </c>
      <c r="I57" s="6">
        <v>50</v>
      </c>
      <c r="J57" s="6" t="e">
        <f>'приложение 4'!#REF!</f>
        <v>#REF!</v>
      </c>
    </row>
    <row r="58" spans="1:10" ht="56.25" hidden="1" x14ac:dyDescent="0.25">
      <c r="A58" s="220"/>
      <c r="B58" s="220"/>
      <c r="C58" s="15" t="s">
        <v>29</v>
      </c>
      <c r="D58" s="18">
        <v>937</v>
      </c>
      <c r="E58" s="8" t="s">
        <v>55</v>
      </c>
      <c r="F58" s="18">
        <v>1010083070</v>
      </c>
      <c r="G58" s="18">
        <v>244</v>
      </c>
      <c r="H58" s="6">
        <v>40</v>
      </c>
      <c r="I58" s="6">
        <v>40</v>
      </c>
      <c r="J58" s="6" t="e">
        <f>'приложение 4'!#REF!</f>
        <v>#REF!</v>
      </c>
    </row>
    <row r="59" spans="1:10" ht="56.25" x14ac:dyDescent="0.25">
      <c r="A59" s="15"/>
      <c r="B59" s="15" t="s">
        <v>58</v>
      </c>
      <c r="C59" s="15" t="s">
        <v>30</v>
      </c>
      <c r="D59" s="18">
        <v>915</v>
      </c>
      <c r="E59" s="8" t="s">
        <v>57</v>
      </c>
      <c r="F59" s="18">
        <v>1010083330</v>
      </c>
      <c r="G59" s="18">
        <v>244</v>
      </c>
      <c r="H59" s="6">
        <v>0</v>
      </c>
      <c r="I59" s="6">
        <v>252.51</v>
      </c>
      <c r="J59" s="6" t="e">
        <f>'приложение 4'!#REF!</f>
        <v>#REF!</v>
      </c>
    </row>
    <row r="60" spans="1:10" ht="37.5" x14ac:dyDescent="0.25">
      <c r="A60" s="224" t="s">
        <v>33</v>
      </c>
      <c r="B60" s="220" t="s">
        <v>34</v>
      </c>
      <c r="C60" s="15" t="s">
        <v>10</v>
      </c>
      <c r="D60" s="18"/>
      <c r="E60" s="8" t="s">
        <v>74</v>
      </c>
      <c r="F60" s="18">
        <v>1020000000</v>
      </c>
      <c r="G60" s="18" t="s">
        <v>74</v>
      </c>
      <c r="H60" s="6">
        <f>H61</f>
        <v>304748.39</v>
      </c>
      <c r="I60" s="6">
        <f>I61</f>
        <v>305445.2</v>
      </c>
      <c r="J60" s="6" t="e">
        <f>'приложение 4'!#REF!</f>
        <v>#REF!</v>
      </c>
    </row>
    <row r="61" spans="1:10" ht="56.25" x14ac:dyDescent="0.25">
      <c r="A61" s="224"/>
      <c r="B61" s="220"/>
      <c r="C61" s="15" t="s">
        <v>30</v>
      </c>
      <c r="D61" s="18">
        <v>915</v>
      </c>
      <c r="E61" s="8" t="s">
        <v>74</v>
      </c>
      <c r="F61" s="18" t="s">
        <v>74</v>
      </c>
      <c r="G61" s="18" t="s">
        <v>74</v>
      </c>
      <c r="H61" s="6">
        <f>H62+H63+H64</f>
        <v>304748.39</v>
      </c>
      <c r="I61" s="6">
        <f>I62+I63</f>
        <v>305445.2</v>
      </c>
      <c r="J61" s="6" t="e">
        <f>'приложение 4'!#REF!</f>
        <v>#REF!</v>
      </c>
    </row>
    <row r="62" spans="1:10" ht="75" x14ac:dyDescent="0.25">
      <c r="A62" s="15"/>
      <c r="B62" s="15" t="s">
        <v>35</v>
      </c>
      <c r="C62" s="15" t="s">
        <v>30</v>
      </c>
      <c r="D62" s="18">
        <v>915</v>
      </c>
      <c r="E62" s="8" t="s">
        <v>57</v>
      </c>
      <c r="F62" s="18">
        <v>1020083260</v>
      </c>
      <c r="G62" s="18">
        <v>244</v>
      </c>
      <c r="H62" s="6">
        <v>6860.26</v>
      </c>
      <c r="I62" s="6">
        <v>7824</v>
      </c>
      <c r="J62" s="6" t="e">
        <f>'приложение 4'!#REF!</f>
        <v>#REF!</v>
      </c>
    </row>
    <row r="63" spans="1:10" ht="131.25" x14ac:dyDescent="0.25">
      <c r="A63" s="15"/>
      <c r="B63" s="15" t="s">
        <v>116</v>
      </c>
      <c r="C63" s="15" t="s">
        <v>30</v>
      </c>
      <c r="D63" s="18">
        <v>915</v>
      </c>
      <c r="E63" s="8" t="s">
        <v>59</v>
      </c>
      <c r="F63" s="18">
        <v>1020083080</v>
      </c>
      <c r="G63" s="18">
        <v>243</v>
      </c>
      <c r="H63" s="6">
        <v>100938.77</v>
      </c>
      <c r="I63" s="6">
        <v>297621.2</v>
      </c>
      <c r="J63" s="6" t="e">
        <f>'приложение 4'!#REF!</f>
        <v>#REF!</v>
      </c>
    </row>
    <row r="64" spans="1:10" ht="56.25" x14ac:dyDescent="0.25">
      <c r="A64" s="9"/>
      <c r="B64" s="9" t="s">
        <v>107</v>
      </c>
      <c r="C64" s="15" t="s">
        <v>30</v>
      </c>
      <c r="D64" s="18"/>
      <c r="E64" s="8"/>
      <c r="F64" s="18"/>
      <c r="G64" s="18"/>
      <c r="H64" s="6">
        <v>196949.36</v>
      </c>
      <c r="I64" s="6">
        <v>0</v>
      </c>
      <c r="J64" s="6">
        <v>0</v>
      </c>
    </row>
    <row r="65" spans="1:17" ht="37.5" x14ac:dyDescent="0.25">
      <c r="A65" s="217" t="s">
        <v>36</v>
      </c>
      <c r="B65" s="214" t="s">
        <v>81</v>
      </c>
      <c r="C65" s="15" t="s">
        <v>10</v>
      </c>
      <c r="D65" s="18"/>
      <c r="E65" s="8" t="s">
        <v>74</v>
      </c>
      <c r="F65" s="18">
        <v>1030000000</v>
      </c>
      <c r="G65" s="18" t="s">
        <v>74</v>
      </c>
      <c r="H65" s="6">
        <f>SUM(H66:H68)</f>
        <v>2043579.53</v>
      </c>
      <c r="I65" s="6">
        <f>SUM(I66:I68)</f>
        <v>1833517.42</v>
      </c>
      <c r="J65" s="6" t="e">
        <f>'приложение 4'!#REF!</f>
        <v>#REF!</v>
      </c>
    </row>
    <row r="66" spans="1:17" ht="56.25" x14ac:dyDescent="0.25">
      <c r="A66" s="218"/>
      <c r="B66" s="215"/>
      <c r="C66" s="15" t="s">
        <v>11</v>
      </c>
      <c r="D66" s="18">
        <v>915</v>
      </c>
      <c r="E66" s="8" t="s">
        <v>74</v>
      </c>
      <c r="F66" s="18" t="s">
        <v>74</v>
      </c>
      <c r="G66" s="18" t="s">
        <v>74</v>
      </c>
      <c r="H66" s="6">
        <f>H86+H87+H88+H89+H90+H92+H101+H109+H91</f>
        <v>1988109.56</v>
      </c>
      <c r="I66" s="6">
        <f>I86+I87+I88+I89+I90+I92+I101+I109+I91</f>
        <v>1738960.24</v>
      </c>
      <c r="J66" s="6" t="e">
        <f>J86+J87+J88+J89+J90+J92+J101+J109+J91</f>
        <v>#REF!</v>
      </c>
    </row>
    <row r="67" spans="1:17" ht="56.25" x14ac:dyDescent="0.25">
      <c r="A67" s="218"/>
      <c r="B67" s="215"/>
      <c r="C67" s="15" t="s">
        <v>75</v>
      </c>
      <c r="D67" s="18"/>
      <c r="E67" s="8"/>
      <c r="F67" s="18"/>
      <c r="G67" s="18"/>
      <c r="H67" s="6">
        <f>H102</f>
        <v>0</v>
      </c>
      <c r="I67" s="6">
        <f>I102</f>
        <v>9500</v>
      </c>
      <c r="J67" s="6">
        <f>J102</f>
        <v>0</v>
      </c>
    </row>
    <row r="68" spans="1:17" ht="56.25" x14ac:dyDescent="0.25">
      <c r="A68" s="218"/>
      <c r="B68" s="215"/>
      <c r="C68" s="15" t="s">
        <v>13</v>
      </c>
      <c r="D68" s="8" t="s">
        <v>53</v>
      </c>
      <c r="E68" s="8" t="s">
        <v>74</v>
      </c>
      <c r="F68" s="18" t="s">
        <v>74</v>
      </c>
      <c r="G68" s="18" t="s">
        <v>74</v>
      </c>
      <c r="H68" s="6">
        <f t="shared" ref="H68:I75" si="2">H93</f>
        <v>55469.97</v>
      </c>
      <c r="I68" s="6">
        <f t="shared" si="2"/>
        <v>85057.18</v>
      </c>
      <c r="J68" s="6" t="e">
        <f>'приложение 4'!#REF!</f>
        <v>#REF!</v>
      </c>
    </row>
    <row r="69" spans="1:17" ht="56.25" hidden="1" x14ac:dyDescent="0.25">
      <c r="A69" s="218"/>
      <c r="B69" s="215"/>
      <c r="C69" s="15" t="s">
        <v>23</v>
      </c>
      <c r="D69" s="18">
        <v>919</v>
      </c>
      <c r="E69" s="8" t="s">
        <v>74</v>
      </c>
      <c r="F69" s="18" t="s">
        <v>74</v>
      </c>
      <c r="G69" s="18" t="s">
        <v>74</v>
      </c>
      <c r="H69" s="6">
        <f t="shared" si="2"/>
        <v>5549.43</v>
      </c>
      <c r="I69" s="6">
        <f t="shared" si="2"/>
        <v>0</v>
      </c>
      <c r="J69" s="6" t="e">
        <f>'приложение 4'!#REF!</f>
        <v>#REF!</v>
      </c>
    </row>
    <row r="70" spans="1:17" ht="56.25" hidden="1" x14ac:dyDescent="0.25">
      <c r="A70" s="218"/>
      <c r="B70" s="215"/>
      <c r="C70" s="15" t="s">
        <v>24</v>
      </c>
      <c r="D70" s="18">
        <v>922</v>
      </c>
      <c r="E70" s="8" t="s">
        <v>74</v>
      </c>
      <c r="F70" s="18" t="s">
        <v>74</v>
      </c>
      <c r="G70" s="18" t="s">
        <v>74</v>
      </c>
      <c r="H70" s="6">
        <f t="shared" si="2"/>
        <v>5808.42</v>
      </c>
      <c r="I70" s="6">
        <f t="shared" si="2"/>
        <v>0</v>
      </c>
      <c r="J70" s="6" t="e">
        <f>'приложение 4'!#REF!</f>
        <v>#REF!</v>
      </c>
    </row>
    <row r="71" spans="1:17" ht="56.25" hidden="1" x14ac:dyDescent="0.25">
      <c r="A71" s="218"/>
      <c r="B71" s="215"/>
      <c r="C71" s="15" t="s">
        <v>25</v>
      </c>
      <c r="D71" s="18">
        <v>925</v>
      </c>
      <c r="E71" s="8" t="s">
        <v>74</v>
      </c>
      <c r="F71" s="18" t="s">
        <v>74</v>
      </c>
      <c r="G71" s="18" t="s">
        <v>74</v>
      </c>
      <c r="H71" s="6">
        <f t="shared" si="2"/>
        <v>11791.6</v>
      </c>
      <c r="I71" s="6">
        <f t="shared" si="2"/>
        <v>0</v>
      </c>
      <c r="J71" s="6" t="e">
        <f>'приложение 4'!#REF!</f>
        <v>#REF!</v>
      </c>
    </row>
    <row r="72" spans="1:17" ht="56.25" hidden="1" x14ac:dyDescent="0.25">
      <c r="A72" s="218"/>
      <c r="B72" s="215"/>
      <c r="C72" s="15" t="s">
        <v>26</v>
      </c>
      <c r="D72" s="18">
        <v>928</v>
      </c>
      <c r="E72" s="8" t="s">
        <v>74</v>
      </c>
      <c r="F72" s="18" t="s">
        <v>74</v>
      </c>
      <c r="G72" s="18" t="s">
        <v>74</v>
      </c>
      <c r="H72" s="6">
        <f t="shared" si="2"/>
        <v>13000.5</v>
      </c>
      <c r="I72" s="6">
        <f t="shared" si="2"/>
        <v>0</v>
      </c>
      <c r="J72" s="6" t="e">
        <f>'приложение 4'!#REF!</f>
        <v>#REF!</v>
      </c>
    </row>
    <row r="73" spans="1:17" ht="56.25" hidden="1" x14ac:dyDescent="0.25">
      <c r="A73" s="218"/>
      <c r="B73" s="215"/>
      <c r="C73" s="15" t="s">
        <v>27</v>
      </c>
      <c r="D73" s="18">
        <v>931</v>
      </c>
      <c r="E73" s="8" t="s">
        <v>74</v>
      </c>
      <c r="F73" s="18" t="s">
        <v>74</v>
      </c>
      <c r="G73" s="18" t="s">
        <v>74</v>
      </c>
      <c r="H73" s="6">
        <f t="shared" si="2"/>
        <v>11632.55</v>
      </c>
      <c r="I73" s="6">
        <f t="shared" si="2"/>
        <v>0</v>
      </c>
      <c r="J73" s="6" t="e">
        <f>'приложение 4'!#REF!</f>
        <v>#REF!</v>
      </c>
    </row>
    <row r="74" spans="1:17" ht="56.25" hidden="1" x14ac:dyDescent="0.25">
      <c r="A74" s="218"/>
      <c r="B74" s="215"/>
      <c r="C74" s="15" t="s">
        <v>28</v>
      </c>
      <c r="D74" s="18">
        <v>934</v>
      </c>
      <c r="E74" s="8" t="s">
        <v>74</v>
      </c>
      <c r="F74" s="18" t="s">
        <v>74</v>
      </c>
      <c r="G74" s="18" t="s">
        <v>74</v>
      </c>
      <c r="H74" s="6">
        <f t="shared" si="2"/>
        <v>29425.1</v>
      </c>
      <c r="I74" s="6">
        <f t="shared" si="2"/>
        <v>0</v>
      </c>
      <c r="J74" s="6" t="e">
        <f>'приложение 4'!#REF!</f>
        <v>#REF!</v>
      </c>
    </row>
    <row r="75" spans="1:17" ht="56.25" hidden="1" x14ac:dyDescent="0.25">
      <c r="A75" s="219"/>
      <c r="B75" s="216"/>
      <c r="C75" s="15" t="s">
        <v>29</v>
      </c>
      <c r="D75" s="18">
        <v>937</v>
      </c>
      <c r="E75" s="8" t="s">
        <v>74</v>
      </c>
      <c r="F75" s="18" t="s">
        <v>74</v>
      </c>
      <c r="G75" s="18" t="s">
        <v>74</v>
      </c>
      <c r="H75" s="6">
        <f t="shared" si="2"/>
        <v>11443.5</v>
      </c>
      <c r="I75" s="6">
        <f t="shared" si="2"/>
        <v>0</v>
      </c>
      <c r="J75" s="6" t="e">
        <f>'приложение 4'!#REF!</f>
        <v>#REF!</v>
      </c>
    </row>
    <row r="76" spans="1:17" ht="56.25" x14ac:dyDescent="0.25">
      <c r="A76" s="24"/>
      <c r="B76" s="14" t="s">
        <v>118</v>
      </c>
      <c r="C76" s="214" t="s">
        <v>30</v>
      </c>
      <c r="D76" s="23"/>
      <c r="E76" s="8"/>
      <c r="F76" s="23"/>
      <c r="G76" s="23"/>
      <c r="H76" s="6">
        <f>H86+H87+H88+H89</f>
        <v>1538644.86</v>
      </c>
      <c r="I76" s="6">
        <f>I86+I87+I88+I89</f>
        <v>1211601.75</v>
      </c>
      <c r="J76" s="6" t="e">
        <f>J86+J87+J88+J89</f>
        <v>#REF!</v>
      </c>
    </row>
    <row r="77" spans="1:17" s="30" customFormat="1" ht="37.5" x14ac:dyDescent="0.25">
      <c r="A77" s="25"/>
      <c r="B77" s="26" t="s">
        <v>127</v>
      </c>
      <c r="C77" s="215"/>
      <c r="D77" s="27"/>
      <c r="E77" s="28"/>
      <c r="F77" s="27"/>
      <c r="G77" s="27"/>
      <c r="H77" s="29">
        <v>386380</v>
      </c>
      <c r="I77" s="29">
        <v>234400</v>
      </c>
      <c r="J77" s="29">
        <v>152400</v>
      </c>
      <c r="Q77" s="31"/>
    </row>
    <row r="78" spans="1:17" s="30" customFormat="1" ht="18.75" x14ac:dyDescent="0.25">
      <c r="A78" s="25"/>
      <c r="B78" s="26" t="s">
        <v>119</v>
      </c>
      <c r="C78" s="215"/>
      <c r="D78" s="27"/>
      <c r="E78" s="28"/>
      <c r="F78" s="27"/>
      <c r="G78" s="27"/>
      <c r="H78" s="29">
        <f>677030-5.14</f>
        <v>677024.86</v>
      </c>
      <c r="I78" s="29">
        <f>552770-83358.25</f>
        <v>469411.75</v>
      </c>
      <c r="J78" s="29">
        <v>414000</v>
      </c>
      <c r="Q78" s="31"/>
    </row>
    <row r="79" spans="1:17" s="30" customFormat="1" ht="18.75" x14ac:dyDescent="0.25">
      <c r="A79" s="25"/>
      <c r="B79" s="26" t="s">
        <v>120</v>
      </c>
      <c r="C79" s="215"/>
      <c r="D79" s="27"/>
      <c r="E79" s="28"/>
      <c r="F79" s="27"/>
      <c r="G79" s="27"/>
      <c r="H79" s="29">
        <v>61560</v>
      </c>
      <c r="I79" s="29">
        <v>80190</v>
      </c>
      <c r="J79" s="29">
        <v>50000</v>
      </c>
      <c r="Q79" s="31"/>
    </row>
    <row r="80" spans="1:17" s="30" customFormat="1" ht="18.75" x14ac:dyDescent="0.25">
      <c r="A80" s="25"/>
      <c r="B80" s="26" t="s">
        <v>121</v>
      </c>
      <c r="C80" s="215"/>
      <c r="D80" s="27"/>
      <c r="E80" s="28"/>
      <c r="F80" s="27"/>
      <c r="G80" s="27"/>
      <c r="H80" s="29">
        <v>90500</v>
      </c>
      <c r="I80" s="29">
        <v>84950</v>
      </c>
      <c r="J80" s="29">
        <v>800</v>
      </c>
      <c r="Q80" s="31"/>
    </row>
    <row r="81" spans="1:17" s="30" customFormat="1" ht="18.75" x14ac:dyDescent="0.25">
      <c r="A81" s="25"/>
      <c r="B81" s="26" t="s">
        <v>122</v>
      </c>
      <c r="C81" s="215"/>
      <c r="D81" s="27"/>
      <c r="E81" s="28"/>
      <c r="F81" s="27"/>
      <c r="G81" s="27"/>
      <c r="H81" s="29">
        <v>28750</v>
      </c>
      <c r="I81" s="29">
        <v>55000</v>
      </c>
      <c r="J81" s="29">
        <v>50000</v>
      </c>
      <c r="Q81" s="31"/>
    </row>
    <row r="82" spans="1:17" s="30" customFormat="1" ht="18.75" x14ac:dyDescent="0.25">
      <c r="A82" s="25"/>
      <c r="B82" s="26" t="s">
        <v>123</v>
      </c>
      <c r="C82" s="215"/>
      <c r="D82" s="27"/>
      <c r="E82" s="28"/>
      <c r="F82" s="27"/>
      <c r="G82" s="27"/>
      <c r="H82" s="29">
        <v>31650</v>
      </c>
      <c r="I82" s="29">
        <v>32330</v>
      </c>
      <c r="J82" s="29">
        <v>12450</v>
      </c>
      <c r="Q82" s="31"/>
    </row>
    <row r="83" spans="1:17" s="30" customFormat="1" ht="18.75" x14ac:dyDescent="0.25">
      <c r="A83" s="25"/>
      <c r="B83" s="26" t="s">
        <v>124</v>
      </c>
      <c r="C83" s="215"/>
      <c r="D83" s="27"/>
      <c r="E83" s="28"/>
      <c r="F83" s="27"/>
      <c r="G83" s="27"/>
      <c r="H83" s="29">
        <v>10880</v>
      </c>
      <c r="I83" s="29">
        <v>22330</v>
      </c>
      <c r="J83" s="29">
        <v>2000</v>
      </c>
      <c r="Q83" s="31"/>
    </row>
    <row r="84" spans="1:17" s="30" customFormat="1" ht="37.5" x14ac:dyDescent="0.25">
      <c r="A84" s="25"/>
      <c r="B84" s="26" t="s">
        <v>125</v>
      </c>
      <c r="C84" s="215"/>
      <c r="D84" s="27"/>
      <c r="E84" s="28"/>
      <c r="F84" s="27"/>
      <c r="G84" s="27"/>
      <c r="H84" s="29">
        <v>2010</v>
      </c>
      <c r="I84" s="29">
        <v>11060</v>
      </c>
      <c r="J84" s="29">
        <f>2500+275.01</f>
        <v>2775.01</v>
      </c>
      <c r="Q84" s="31"/>
    </row>
    <row r="85" spans="1:17" s="30" customFormat="1" ht="18.75" x14ac:dyDescent="0.25">
      <c r="A85" s="25"/>
      <c r="B85" s="26" t="s">
        <v>126</v>
      </c>
      <c r="C85" s="216"/>
      <c r="D85" s="27"/>
      <c r="E85" s="28"/>
      <c r="F85" s="27"/>
      <c r="G85" s="27"/>
      <c r="H85" s="29">
        <v>249890</v>
      </c>
      <c r="I85" s="29">
        <v>221930</v>
      </c>
      <c r="J85" s="29">
        <v>246430</v>
      </c>
      <c r="Q85" s="31"/>
    </row>
    <row r="86" spans="1:17" ht="72.75" hidden="1" customHeight="1" x14ac:dyDescent="0.25">
      <c r="A86" s="15"/>
      <c r="B86" s="15" t="s">
        <v>83</v>
      </c>
      <c r="C86" s="15" t="s">
        <v>30</v>
      </c>
      <c r="D86" s="18">
        <v>915</v>
      </c>
      <c r="E86" s="8" t="s">
        <v>56</v>
      </c>
      <c r="F86" s="18">
        <v>1030083100</v>
      </c>
      <c r="G86" s="18">
        <v>244</v>
      </c>
      <c r="H86" s="6">
        <v>908410.81</v>
      </c>
      <c r="I86" s="6">
        <v>435394.5</v>
      </c>
      <c r="J86" s="6" t="e">
        <f>'приложение 4'!#REF!</f>
        <v>#REF!</v>
      </c>
    </row>
    <row r="87" spans="1:17" ht="93.75" hidden="1" x14ac:dyDescent="0.25">
      <c r="A87" s="15"/>
      <c r="B87" s="15" t="s">
        <v>82</v>
      </c>
      <c r="C87" s="15" t="s">
        <v>30</v>
      </c>
      <c r="D87" s="18">
        <v>915</v>
      </c>
      <c r="E87" s="8" t="s">
        <v>56</v>
      </c>
      <c r="F87" s="18">
        <v>1030083270</v>
      </c>
      <c r="G87" s="18">
        <v>244</v>
      </c>
      <c r="H87" s="6">
        <v>413951.56</v>
      </c>
      <c r="I87" s="6">
        <v>338000.62</v>
      </c>
      <c r="J87" s="6" t="e">
        <f>'приложение 4'!#REF!</f>
        <v>#REF!</v>
      </c>
    </row>
    <row r="88" spans="1:17" ht="56.25" hidden="1" x14ac:dyDescent="0.25">
      <c r="A88" s="15"/>
      <c r="B88" s="15" t="s">
        <v>117</v>
      </c>
      <c r="C88" s="15" t="s">
        <v>30</v>
      </c>
      <c r="D88" s="18"/>
      <c r="E88" s="8"/>
      <c r="F88" s="18"/>
      <c r="G88" s="18"/>
      <c r="H88" s="6">
        <v>216282.49</v>
      </c>
      <c r="I88" s="6">
        <v>358018.9</v>
      </c>
      <c r="J88" s="6">
        <v>0</v>
      </c>
    </row>
    <row r="89" spans="1:17" ht="56.25" hidden="1" x14ac:dyDescent="0.25">
      <c r="A89" s="15"/>
      <c r="B89" s="15" t="s">
        <v>86</v>
      </c>
      <c r="C89" s="15" t="s">
        <v>30</v>
      </c>
      <c r="D89" s="18">
        <v>915</v>
      </c>
      <c r="E89" s="8" t="s">
        <v>56</v>
      </c>
      <c r="F89" s="18">
        <v>1030083360</v>
      </c>
      <c r="G89" s="18">
        <v>244</v>
      </c>
      <c r="H89" s="6">
        <v>0</v>
      </c>
      <c r="I89" s="6">
        <v>80187.73</v>
      </c>
      <c r="J89" s="6" t="e">
        <f>'приложение 4'!#REF!</f>
        <v>#REF!</v>
      </c>
    </row>
    <row r="90" spans="1:17" ht="150" x14ac:dyDescent="0.25">
      <c r="A90" s="15"/>
      <c r="B90" s="15" t="s">
        <v>129</v>
      </c>
      <c r="C90" s="15" t="s">
        <v>30</v>
      </c>
      <c r="D90" s="18">
        <v>915</v>
      </c>
      <c r="E90" s="8" t="s">
        <v>56</v>
      </c>
      <c r="F90" s="18">
        <v>1030083110</v>
      </c>
      <c r="G90" s="18">
        <v>243</v>
      </c>
      <c r="H90" s="6">
        <f>220087.49+16899.17</f>
        <v>236986.65999999997</v>
      </c>
      <c r="I90" s="6">
        <f>274336.01+21345-61692.4</f>
        <v>233988.61000000002</v>
      </c>
      <c r="J90" s="6" t="e">
        <f>'приложение 4'!#REF!-70140</f>
        <v>#REF!</v>
      </c>
    </row>
    <row r="91" spans="1:17" ht="75" x14ac:dyDescent="0.25">
      <c r="A91" s="22"/>
      <c r="B91" s="9" t="s">
        <v>128</v>
      </c>
      <c r="C91" s="22" t="s">
        <v>30</v>
      </c>
      <c r="D91" s="23"/>
      <c r="E91" s="8"/>
      <c r="F91" s="23"/>
      <c r="G91" s="23"/>
      <c r="H91" s="6">
        <v>5896.5</v>
      </c>
      <c r="I91" s="6">
        <v>61692.4</v>
      </c>
      <c r="J91" s="6">
        <v>70140</v>
      </c>
    </row>
    <row r="92" spans="1:17" ht="150" x14ac:dyDescent="0.25">
      <c r="A92" s="15"/>
      <c r="B92" s="9" t="s">
        <v>130</v>
      </c>
      <c r="C92" s="15" t="s">
        <v>30</v>
      </c>
      <c r="D92" s="18">
        <v>915</v>
      </c>
      <c r="E92" s="8" t="s">
        <v>56</v>
      </c>
      <c r="F92" s="18">
        <v>1030075090</v>
      </c>
      <c r="G92" s="18">
        <v>243</v>
      </c>
      <c r="H92" s="6">
        <v>190641.54</v>
      </c>
      <c r="I92" s="6">
        <v>201400</v>
      </c>
      <c r="J92" s="6" t="e">
        <f>'приложение 4'!#REF!</f>
        <v>#REF!</v>
      </c>
    </row>
    <row r="93" spans="1:17" ht="109.5" customHeight="1" x14ac:dyDescent="0.25">
      <c r="A93" s="220"/>
      <c r="B93" s="220" t="s">
        <v>145</v>
      </c>
      <c r="C93" s="22" t="s">
        <v>31</v>
      </c>
      <c r="D93" s="8" t="s">
        <v>53</v>
      </c>
      <c r="E93" s="8" t="s">
        <v>56</v>
      </c>
      <c r="F93" s="23">
        <v>1030083120</v>
      </c>
      <c r="G93" s="23">
        <v>243</v>
      </c>
      <c r="H93" s="6">
        <v>55469.97</v>
      </c>
      <c r="I93" s="6">
        <v>85057.18</v>
      </c>
      <c r="J93" s="6" t="e">
        <f>'приложение 4'!#REF!</f>
        <v>#REF!</v>
      </c>
    </row>
    <row r="94" spans="1:17" ht="56.25" hidden="1" x14ac:dyDescent="0.25">
      <c r="A94" s="220"/>
      <c r="B94" s="220"/>
      <c r="C94" s="22" t="s">
        <v>23</v>
      </c>
      <c r="D94" s="23">
        <v>919</v>
      </c>
      <c r="E94" s="8" t="s">
        <v>56</v>
      </c>
      <c r="F94" s="23">
        <v>1030083120</v>
      </c>
      <c r="G94" s="23">
        <v>243</v>
      </c>
      <c r="H94" s="6">
        <v>5549.43</v>
      </c>
      <c r="I94" s="6">
        <v>0</v>
      </c>
      <c r="J94" s="6" t="e">
        <f>'приложение 4'!#REF!</f>
        <v>#REF!</v>
      </c>
    </row>
    <row r="95" spans="1:17" ht="56.25" hidden="1" x14ac:dyDescent="0.25">
      <c r="A95" s="220"/>
      <c r="B95" s="220"/>
      <c r="C95" s="22" t="s">
        <v>24</v>
      </c>
      <c r="D95" s="23">
        <v>922</v>
      </c>
      <c r="E95" s="8" t="s">
        <v>56</v>
      </c>
      <c r="F95" s="23">
        <v>1030083120</v>
      </c>
      <c r="G95" s="23">
        <v>243</v>
      </c>
      <c r="H95" s="6">
        <v>5808.42</v>
      </c>
      <c r="I95" s="6">
        <v>0</v>
      </c>
      <c r="J95" s="6" t="e">
        <f>'приложение 4'!#REF!</f>
        <v>#REF!</v>
      </c>
    </row>
    <row r="96" spans="1:17" ht="56.25" hidden="1" x14ac:dyDescent="0.25">
      <c r="A96" s="220"/>
      <c r="B96" s="220"/>
      <c r="C96" s="22" t="s">
        <v>25</v>
      </c>
      <c r="D96" s="23">
        <v>925</v>
      </c>
      <c r="E96" s="8" t="s">
        <v>56</v>
      </c>
      <c r="F96" s="23">
        <v>1030083120</v>
      </c>
      <c r="G96" s="23">
        <v>243</v>
      </c>
      <c r="H96" s="6">
        <v>11791.6</v>
      </c>
      <c r="I96" s="6">
        <v>0</v>
      </c>
      <c r="J96" s="6" t="e">
        <f>'приложение 4'!#REF!</f>
        <v>#REF!</v>
      </c>
    </row>
    <row r="97" spans="1:10" ht="56.25" hidden="1" x14ac:dyDescent="0.25">
      <c r="A97" s="220"/>
      <c r="B97" s="220"/>
      <c r="C97" s="22" t="s">
        <v>26</v>
      </c>
      <c r="D97" s="23">
        <v>928</v>
      </c>
      <c r="E97" s="8" t="s">
        <v>56</v>
      </c>
      <c r="F97" s="23">
        <v>1030083120</v>
      </c>
      <c r="G97" s="23">
        <v>243</v>
      </c>
      <c r="H97" s="6">
        <v>13000.5</v>
      </c>
      <c r="I97" s="6">
        <v>0</v>
      </c>
      <c r="J97" s="6" t="e">
        <f>'приложение 4'!#REF!</f>
        <v>#REF!</v>
      </c>
    </row>
    <row r="98" spans="1:10" ht="56.25" hidden="1" x14ac:dyDescent="0.25">
      <c r="A98" s="220"/>
      <c r="B98" s="220"/>
      <c r="C98" s="22" t="s">
        <v>27</v>
      </c>
      <c r="D98" s="23">
        <v>931</v>
      </c>
      <c r="E98" s="8" t="s">
        <v>56</v>
      </c>
      <c r="F98" s="23">
        <v>1030083120</v>
      </c>
      <c r="G98" s="23">
        <v>243</v>
      </c>
      <c r="H98" s="6">
        <v>11632.55</v>
      </c>
      <c r="I98" s="6">
        <v>0</v>
      </c>
      <c r="J98" s="6" t="e">
        <f>'приложение 4'!#REF!</f>
        <v>#REF!</v>
      </c>
    </row>
    <row r="99" spans="1:10" ht="56.25" hidden="1" x14ac:dyDescent="0.25">
      <c r="A99" s="220"/>
      <c r="B99" s="220"/>
      <c r="C99" s="22" t="s">
        <v>28</v>
      </c>
      <c r="D99" s="23">
        <v>934</v>
      </c>
      <c r="E99" s="8" t="s">
        <v>56</v>
      </c>
      <c r="F99" s="23">
        <v>1030083120</v>
      </c>
      <c r="G99" s="23">
        <v>243</v>
      </c>
      <c r="H99" s="6">
        <v>29425.1</v>
      </c>
      <c r="I99" s="6">
        <v>0</v>
      </c>
      <c r="J99" s="6" t="e">
        <f>'приложение 4'!#REF!</f>
        <v>#REF!</v>
      </c>
    </row>
    <row r="100" spans="1:10" ht="56.25" hidden="1" x14ac:dyDescent="0.25">
      <c r="A100" s="220"/>
      <c r="B100" s="220"/>
      <c r="C100" s="22" t="s">
        <v>29</v>
      </c>
      <c r="D100" s="23">
        <v>937</v>
      </c>
      <c r="E100" s="8" t="s">
        <v>56</v>
      </c>
      <c r="F100" s="23">
        <v>1030083120</v>
      </c>
      <c r="G100" s="23">
        <v>243</v>
      </c>
      <c r="H100" s="6">
        <v>11443.5</v>
      </c>
      <c r="I100" s="6">
        <v>0</v>
      </c>
      <c r="J100" s="6" t="e">
        <f>'приложение 4'!#REF!</f>
        <v>#REF!</v>
      </c>
    </row>
    <row r="101" spans="1:10" ht="75" x14ac:dyDescent="0.25">
      <c r="A101" s="15"/>
      <c r="B101" s="15" t="s">
        <v>131</v>
      </c>
      <c r="C101" s="15" t="s">
        <v>30</v>
      </c>
      <c r="D101" s="18"/>
      <c r="E101" s="8"/>
      <c r="F101" s="18"/>
      <c r="G101" s="18"/>
      <c r="H101" s="6">
        <v>15403.5</v>
      </c>
      <c r="I101" s="6">
        <v>30043.48</v>
      </c>
      <c r="J101" s="6">
        <v>0</v>
      </c>
    </row>
    <row r="102" spans="1:10" ht="56.25" x14ac:dyDescent="0.25">
      <c r="A102" s="15"/>
      <c r="B102" s="9" t="s">
        <v>100</v>
      </c>
      <c r="C102" s="15" t="s">
        <v>75</v>
      </c>
      <c r="D102" s="18"/>
      <c r="E102" s="8"/>
      <c r="F102" s="18"/>
      <c r="G102" s="18"/>
      <c r="H102" s="6">
        <v>0</v>
      </c>
      <c r="I102" s="6">
        <v>9500</v>
      </c>
      <c r="J102" s="6">
        <v>0</v>
      </c>
    </row>
    <row r="103" spans="1:10" ht="18.75" hidden="1" x14ac:dyDescent="0.25">
      <c r="A103" s="9"/>
      <c r="B103" s="9"/>
      <c r="C103" s="15"/>
      <c r="D103" s="18"/>
      <c r="E103" s="8"/>
      <c r="F103" s="18"/>
      <c r="G103" s="18"/>
      <c r="H103" s="6"/>
      <c r="I103" s="6"/>
      <c r="J103" s="6" t="e">
        <f>'приложение 4'!#REF!</f>
        <v>#REF!</v>
      </c>
    </row>
    <row r="104" spans="1:10" ht="18.75" hidden="1" x14ac:dyDescent="0.25">
      <c r="A104" s="9"/>
      <c r="B104" s="9"/>
      <c r="C104" s="15"/>
      <c r="D104" s="18"/>
      <c r="E104" s="8"/>
      <c r="F104" s="18"/>
      <c r="G104" s="18"/>
      <c r="H104" s="6"/>
      <c r="I104" s="6"/>
      <c r="J104" s="6" t="e">
        <f>'приложение 4'!#REF!</f>
        <v>#REF!</v>
      </c>
    </row>
    <row r="105" spans="1:10" ht="18.75" hidden="1" x14ac:dyDescent="0.25">
      <c r="A105" s="9"/>
      <c r="B105" s="9"/>
      <c r="C105" s="15"/>
      <c r="D105" s="18"/>
      <c r="E105" s="8"/>
      <c r="F105" s="18"/>
      <c r="G105" s="18"/>
      <c r="H105" s="6"/>
      <c r="I105" s="6"/>
      <c r="J105" s="6" t="e">
        <f>'приложение 4'!#REF!</f>
        <v>#REF!</v>
      </c>
    </row>
    <row r="106" spans="1:10" ht="18.75" hidden="1" x14ac:dyDescent="0.25">
      <c r="A106" s="9"/>
      <c r="B106" s="9"/>
      <c r="C106" s="15"/>
      <c r="D106" s="18"/>
      <c r="E106" s="8"/>
      <c r="F106" s="18"/>
      <c r="G106" s="18"/>
      <c r="H106" s="6"/>
      <c r="I106" s="6"/>
      <c r="J106" s="6" t="e">
        <f>'приложение 4'!#REF!</f>
        <v>#REF!</v>
      </c>
    </row>
    <row r="107" spans="1:10" ht="18.75" hidden="1" x14ac:dyDescent="0.25">
      <c r="A107" s="9"/>
      <c r="B107" s="9"/>
      <c r="C107" s="15"/>
      <c r="D107" s="18"/>
      <c r="E107" s="8"/>
      <c r="F107" s="18"/>
      <c r="G107" s="18"/>
      <c r="H107" s="6"/>
      <c r="I107" s="6"/>
      <c r="J107" s="6" t="e">
        <f>'приложение 4'!#REF!</f>
        <v>#REF!</v>
      </c>
    </row>
    <row r="108" spans="1:10" ht="18.75" hidden="1" x14ac:dyDescent="0.25">
      <c r="A108" s="9"/>
      <c r="B108" s="9"/>
      <c r="C108" s="15"/>
      <c r="D108" s="18"/>
      <c r="E108" s="8"/>
      <c r="F108" s="18"/>
      <c r="G108" s="18"/>
      <c r="H108" s="6"/>
      <c r="I108" s="6"/>
      <c r="J108" s="6" t="e">
        <f>'приложение 4'!#REF!</f>
        <v>#REF!</v>
      </c>
    </row>
    <row r="109" spans="1:10" ht="56.25" x14ac:dyDescent="0.25">
      <c r="A109" s="9"/>
      <c r="B109" s="9" t="s">
        <v>132</v>
      </c>
      <c r="C109" s="15" t="s">
        <v>30</v>
      </c>
      <c r="D109" s="18"/>
      <c r="E109" s="8"/>
      <c r="F109" s="18"/>
      <c r="G109" s="18"/>
      <c r="H109" s="6">
        <f>479.6+56.9</f>
        <v>536.5</v>
      </c>
      <c r="I109" s="6">
        <v>234</v>
      </c>
      <c r="J109" s="6">
        <v>0</v>
      </c>
    </row>
    <row r="110" spans="1:10" ht="37.5" customHeight="1" x14ac:dyDescent="0.25">
      <c r="A110" s="217" t="s">
        <v>39</v>
      </c>
      <c r="B110" s="214" t="s">
        <v>40</v>
      </c>
      <c r="C110" s="15" t="s">
        <v>10</v>
      </c>
      <c r="D110" s="18" t="s">
        <v>74</v>
      </c>
      <c r="E110" s="8" t="s">
        <v>74</v>
      </c>
      <c r="F110" s="18">
        <v>1040000000</v>
      </c>
      <c r="G110" s="18" t="s">
        <v>74</v>
      </c>
      <c r="H110" s="6">
        <f>SUM(H111:H114)</f>
        <v>567185.82999999996</v>
      </c>
      <c r="I110" s="6">
        <f>I111+I112+I113+I114</f>
        <v>666551.29000000015</v>
      </c>
      <c r="J110" s="6" t="e">
        <f>'приложение 4'!#REF!</f>
        <v>#REF!</v>
      </c>
    </row>
    <row r="111" spans="1:10" ht="56.25" x14ac:dyDescent="0.25">
      <c r="A111" s="218"/>
      <c r="B111" s="215"/>
      <c r="C111" s="15" t="s">
        <v>30</v>
      </c>
      <c r="D111" s="18">
        <v>915</v>
      </c>
      <c r="E111" s="8" t="s">
        <v>74</v>
      </c>
      <c r="F111" s="18" t="s">
        <v>74</v>
      </c>
      <c r="G111" s="18" t="s">
        <v>74</v>
      </c>
      <c r="H111" s="6">
        <f>H122+H124+H160+H162+H181+H184+H188+H189+H196</f>
        <v>529972.93999999994</v>
      </c>
      <c r="I111" s="6">
        <f>I122+I124+I160+I162+I181+I184+I188+I189+I190</f>
        <v>630076.32000000007</v>
      </c>
      <c r="J111" s="6" t="e">
        <f>'приложение 4'!#REF!</f>
        <v>#REF!</v>
      </c>
    </row>
    <row r="112" spans="1:10" ht="56.25" x14ac:dyDescent="0.25">
      <c r="A112" s="218"/>
      <c r="B112" s="215"/>
      <c r="C112" s="15" t="s">
        <v>41</v>
      </c>
      <c r="D112" s="18">
        <v>912</v>
      </c>
      <c r="E112" s="8" t="s">
        <v>74</v>
      </c>
      <c r="F112" s="18" t="s">
        <v>74</v>
      </c>
      <c r="G112" s="18" t="s">
        <v>74</v>
      </c>
      <c r="H112" s="6">
        <f>H164</f>
        <v>2834.38</v>
      </c>
      <c r="I112" s="6">
        <f>I164</f>
        <v>2211</v>
      </c>
      <c r="J112" s="6" t="e">
        <f>'приложение 4'!#REF!</f>
        <v>#REF!</v>
      </c>
    </row>
    <row r="113" spans="1:10" ht="75" x14ac:dyDescent="0.25">
      <c r="A113" s="218"/>
      <c r="B113" s="215"/>
      <c r="C113" s="15" t="s">
        <v>72</v>
      </c>
      <c r="D113" s="18">
        <v>900</v>
      </c>
      <c r="E113" s="8" t="s">
        <v>74</v>
      </c>
      <c r="F113" s="18" t="s">
        <v>74</v>
      </c>
      <c r="G113" s="18" t="s">
        <v>74</v>
      </c>
      <c r="H113" s="6">
        <f>H191+H192+H163</f>
        <v>4103.83</v>
      </c>
      <c r="I113" s="6">
        <f>I191+I192+I163</f>
        <v>1297.8</v>
      </c>
      <c r="J113" s="6" t="e">
        <f>'приложение 4'!#REF!</f>
        <v>#REF!</v>
      </c>
    </row>
    <row r="114" spans="1:10" ht="56.25" x14ac:dyDescent="0.25">
      <c r="A114" s="218"/>
      <c r="B114" s="215"/>
      <c r="C114" s="15" t="s">
        <v>31</v>
      </c>
      <c r="D114" s="8" t="s">
        <v>53</v>
      </c>
      <c r="E114" s="8" t="s">
        <v>74</v>
      </c>
      <c r="F114" s="18" t="s">
        <v>74</v>
      </c>
      <c r="G114" s="18" t="s">
        <v>74</v>
      </c>
      <c r="H114" s="6">
        <f t="shared" ref="H114:I121" si="3">H125+H165+H173</f>
        <v>30274.68</v>
      </c>
      <c r="I114" s="6">
        <f t="shared" si="3"/>
        <v>32966.17</v>
      </c>
      <c r="J114" s="6" t="e">
        <f>'приложение 4'!#REF!</f>
        <v>#REF!</v>
      </c>
    </row>
    <row r="115" spans="1:10" ht="56.25" hidden="1" x14ac:dyDescent="0.25">
      <c r="A115" s="218"/>
      <c r="B115" s="215"/>
      <c r="C115" s="15" t="s">
        <v>23</v>
      </c>
      <c r="D115" s="18">
        <v>919</v>
      </c>
      <c r="E115" s="8" t="s">
        <v>74</v>
      </c>
      <c r="F115" s="18" t="s">
        <v>74</v>
      </c>
      <c r="G115" s="18" t="s">
        <v>74</v>
      </c>
      <c r="H115" s="6">
        <f t="shared" si="3"/>
        <v>0</v>
      </c>
      <c r="I115" s="6">
        <f t="shared" si="3"/>
        <v>0</v>
      </c>
      <c r="J115" s="6" t="e">
        <f>'приложение 4'!#REF!</f>
        <v>#REF!</v>
      </c>
    </row>
    <row r="116" spans="1:10" ht="56.25" hidden="1" x14ac:dyDescent="0.25">
      <c r="A116" s="218"/>
      <c r="B116" s="215"/>
      <c r="C116" s="15" t="s">
        <v>24</v>
      </c>
      <c r="D116" s="18">
        <v>922</v>
      </c>
      <c r="E116" s="8" t="s">
        <v>74</v>
      </c>
      <c r="F116" s="18" t="s">
        <v>74</v>
      </c>
      <c r="G116" s="18" t="s">
        <v>74</v>
      </c>
      <c r="H116" s="6">
        <f t="shared" si="3"/>
        <v>0</v>
      </c>
      <c r="I116" s="6">
        <f t="shared" si="3"/>
        <v>0</v>
      </c>
      <c r="J116" s="6" t="e">
        <f>'приложение 4'!#REF!</f>
        <v>#REF!</v>
      </c>
    </row>
    <row r="117" spans="1:10" ht="56.25" hidden="1" x14ac:dyDescent="0.25">
      <c r="A117" s="218"/>
      <c r="B117" s="215"/>
      <c r="C117" s="15" t="s">
        <v>25</v>
      </c>
      <c r="D117" s="18">
        <v>925</v>
      </c>
      <c r="E117" s="8" t="s">
        <v>74</v>
      </c>
      <c r="F117" s="18" t="s">
        <v>74</v>
      </c>
      <c r="G117" s="18" t="s">
        <v>74</v>
      </c>
      <c r="H117" s="6">
        <f t="shared" si="3"/>
        <v>0</v>
      </c>
      <c r="I117" s="6">
        <f t="shared" si="3"/>
        <v>0</v>
      </c>
      <c r="J117" s="6" t="e">
        <f>'приложение 4'!#REF!</f>
        <v>#REF!</v>
      </c>
    </row>
    <row r="118" spans="1:10" ht="56.25" hidden="1" x14ac:dyDescent="0.25">
      <c r="A118" s="218"/>
      <c r="B118" s="215"/>
      <c r="C118" s="15" t="s">
        <v>26</v>
      </c>
      <c r="D118" s="18">
        <v>928</v>
      </c>
      <c r="E118" s="8" t="s">
        <v>74</v>
      </c>
      <c r="F118" s="18" t="s">
        <v>74</v>
      </c>
      <c r="G118" s="18" t="s">
        <v>74</v>
      </c>
      <c r="H118" s="6">
        <f t="shared" si="3"/>
        <v>0</v>
      </c>
      <c r="I118" s="6">
        <f t="shared" si="3"/>
        <v>0</v>
      </c>
      <c r="J118" s="6" t="e">
        <f>'приложение 4'!#REF!</f>
        <v>#REF!</v>
      </c>
    </row>
    <row r="119" spans="1:10" ht="56.25" hidden="1" x14ac:dyDescent="0.25">
      <c r="A119" s="218"/>
      <c r="B119" s="215"/>
      <c r="C119" s="15" t="s">
        <v>27</v>
      </c>
      <c r="D119" s="18">
        <v>931</v>
      </c>
      <c r="E119" s="8" t="s">
        <v>74</v>
      </c>
      <c r="F119" s="18" t="s">
        <v>74</v>
      </c>
      <c r="G119" s="18" t="s">
        <v>74</v>
      </c>
      <c r="H119" s="6">
        <f t="shared" si="3"/>
        <v>0</v>
      </c>
      <c r="I119" s="6">
        <f t="shared" si="3"/>
        <v>0</v>
      </c>
      <c r="J119" s="6" t="e">
        <f>'приложение 4'!#REF!</f>
        <v>#REF!</v>
      </c>
    </row>
    <row r="120" spans="1:10" ht="56.25" hidden="1" x14ac:dyDescent="0.25">
      <c r="A120" s="218"/>
      <c r="B120" s="215"/>
      <c r="C120" s="15" t="s">
        <v>28</v>
      </c>
      <c r="D120" s="18">
        <v>934</v>
      </c>
      <c r="E120" s="8" t="s">
        <v>74</v>
      </c>
      <c r="F120" s="18" t="s">
        <v>74</v>
      </c>
      <c r="G120" s="18" t="s">
        <v>74</v>
      </c>
      <c r="H120" s="6">
        <f t="shared" si="3"/>
        <v>0</v>
      </c>
      <c r="I120" s="6">
        <f t="shared" si="3"/>
        <v>0</v>
      </c>
      <c r="J120" s="6" t="e">
        <f>'приложение 4'!#REF!</f>
        <v>#REF!</v>
      </c>
    </row>
    <row r="121" spans="1:10" ht="56.25" hidden="1" x14ac:dyDescent="0.25">
      <c r="A121" s="219"/>
      <c r="B121" s="216"/>
      <c r="C121" s="15" t="s">
        <v>29</v>
      </c>
      <c r="D121" s="18">
        <v>937</v>
      </c>
      <c r="E121" s="8" t="s">
        <v>74</v>
      </c>
      <c r="F121" s="18" t="s">
        <v>74</v>
      </c>
      <c r="G121" s="18" t="s">
        <v>74</v>
      </c>
      <c r="H121" s="6">
        <f t="shared" si="3"/>
        <v>0</v>
      </c>
      <c r="I121" s="6">
        <f t="shared" si="3"/>
        <v>0</v>
      </c>
      <c r="J121" s="6" t="e">
        <f>'приложение 4'!#REF!</f>
        <v>#REF!</v>
      </c>
    </row>
    <row r="122" spans="1:10" ht="56.25" hidden="1" x14ac:dyDescent="0.25">
      <c r="A122" s="15"/>
      <c r="B122" s="15" t="s">
        <v>42</v>
      </c>
      <c r="C122" s="15" t="s">
        <v>30</v>
      </c>
      <c r="D122" s="18">
        <v>915</v>
      </c>
      <c r="E122" s="8" t="s">
        <v>60</v>
      </c>
      <c r="F122" s="18">
        <v>1040083170</v>
      </c>
      <c r="G122" s="18">
        <v>244</v>
      </c>
      <c r="H122" s="6">
        <v>24519.4</v>
      </c>
      <c r="I122" s="6">
        <v>31616</v>
      </c>
      <c r="J122" s="6" t="e">
        <f>'приложение 4'!#REF!</f>
        <v>#REF!</v>
      </c>
    </row>
    <row r="123" spans="1:10" ht="56.25" hidden="1" x14ac:dyDescent="0.25">
      <c r="A123" s="220"/>
      <c r="B123" s="220" t="s">
        <v>43</v>
      </c>
      <c r="C123" s="15" t="s">
        <v>10</v>
      </c>
      <c r="D123" s="8" t="s">
        <v>61</v>
      </c>
      <c r="E123" s="8" t="s">
        <v>60</v>
      </c>
      <c r="F123" s="18">
        <v>1040083180</v>
      </c>
      <c r="G123" s="18">
        <v>244</v>
      </c>
      <c r="H123" s="6">
        <f>H124+H125</f>
        <v>258047.71</v>
      </c>
      <c r="I123" s="6">
        <f>I124+I125</f>
        <v>341305.63</v>
      </c>
      <c r="J123" s="6" t="e">
        <f>'приложение 4'!#REF!</f>
        <v>#REF!</v>
      </c>
    </row>
    <row r="124" spans="1:10" ht="56.25" hidden="1" x14ac:dyDescent="0.25">
      <c r="A124" s="220"/>
      <c r="B124" s="220"/>
      <c r="C124" s="15" t="s">
        <v>30</v>
      </c>
      <c r="D124" s="18">
        <v>915</v>
      </c>
      <c r="E124" s="8" t="s">
        <v>60</v>
      </c>
      <c r="F124" s="18">
        <v>1040083180</v>
      </c>
      <c r="G124" s="18">
        <v>244</v>
      </c>
      <c r="H124" s="6">
        <v>237868.61</v>
      </c>
      <c r="I124" s="6">
        <v>317421.49</v>
      </c>
      <c r="J124" s="6" t="e">
        <f>'приложение 4'!#REF!</f>
        <v>#REF!</v>
      </c>
    </row>
    <row r="125" spans="1:10" ht="56.25" hidden="1" x14ac:dyDescent="0.25">
      <c r="A125" s="220"/>
      <c r="B125" s="220"/>
      <c r="C125" s="15" t="s">
        <v>31</v>
      </c>
      <c r="D125" s="8" t="s">
        <v>53</v>
      </c>
      <c r="E125" s="8" t="s">
        <v>60</v>
      </c>
      <c r="F125" s="18">
        <v>1040083180</v>
      </c>
      <c r="G125" s="18">
        <v>244</v>
      </c>
      <c r="H125" s="6">
        <v>20179.099999999999</v>
      </c>
      <c r="I125" s="6">
        <v>23884.14</v>
      </c>
      <c r="J125" s="6" t="e">
        <f>'приложение 4'!#REF!</f>
        <v>#REF!</v>
      </c>
    </row>
    <row r="126" spans="1:10" ht="56.25" hidden="1" x14ac:dyDescent="0.25">
      <c r="A126" s="220"/>
      <c r="B126" s="220"/>
      <c r="C126" s="15" t="s">
        <v>23</v>
      </c>
      <c r="D126" s="18">
        <v>919</v>
      </c>
      <c r="E126" s="8" t="s">
        <v>60</v>
      </c>
      <c r="F126" s="18">
        <v>1040083180</v>
      </c>
      <c r="G126" s="18">
        <v>244</v>
      </c>
      <c r="H126" s="6"/>
      <c r="I126" s="6"/>
      <c r="J126" s="6" t="e">
        <f>'приложение 4'!#REF!</f>
        <v>#REF!</v>
      </c>
    </row>
    <row r="127" spans="1:10" ht="56.25" hidden="1" x14ac:dyDescent="0.25">
      <c r="A127" s="220"/>
      <c r="B127" s="220"/>
      <c r="C127" s="15" t="s">
        <v>24</v>
      </c>
      <c r="D127" s="18">
        <v>922</v>
      </c>
      <c r="E127" s="8" t="s">
        <v>60</v>
      </c>
      <c r="F127" s="18">
        <v>1040083180</v>
      </c>
      <c r="G127" s="18">
        <v>244</v>
      </c>
      <c r="H127" s="6"/>
      <c r="I127" s="6"/>
      <c r="J127" s="6" t="e">
        <f>'приложение 4'!#REF!</f>
        <v>#REF!</v>
      </c>
    </row>
    <row r="128" spans="1:10" ht="56.25" hidden="1" x14ac:dyDescent="0.25">
      <c r="A128" s="220"/>
      <c r="B128" s="220"/>
      <c r="C128" s="15" t="s">
        <v>25</v>
      </c>
      <c r="D128" s="18">
        <v>925</v>
      </c>
      <c r="E128" s="8" t="s">
        <v>60</v>
      </c>
      <c r="F128" s="18">
        <v>1040083180</v>
      </c>
      <c r="G128" s="18">
        <v>244</v>
      </c>
      <c r="H128" s="6"/>
      <c r="I128" s="6"/>
      <c r="J128" s="6" t="e">
        <f>'приложение 4'!#REF!</f>
        <v>#REF!</v>
      </c>
    </row>
    <row r="129" spans="1:17" ht="56.25" hidden="1" x14ac:dyDescent="0.25">
      <c r="A129" s="220"/>
      <c r="B129" s="220"/>
      <c r="C129" s="15" t="s">
        <v>26</v>
      </c>
      <c r="D129" s="18">
        <v>928</v>
      </c>
      <c r="E129" s="8" t="s">
        <v>60</v>
      </c>
      <c r="F129" s="18">
        <v>1040083180</v>
      </c>
      <c r="G129" s="18">
        <v>244</v>
      </c>
      <c r="H129" s="6"/>
      <c r="I129" s="6"/>
      <c r="J129" s="6" t="e">
        <f>'приложение 4'!#REF!</f>
        <v>#REF!</v>
      </c>
    </row>
    <row r="130" spans="1:17" ht="56.25" hidden="1" x14ac:dyDescent="0.25">
      <c r="A130" s="220"/>
      <c r="B130" s="220"/>
      <c r="C130" s="15" t="s">
        <v>27</v>
      </c>
      <c r="D130" s="18">
        <v>931</v>
      </c>
      <c r="E130" s="8" t="s">
        <v>60</v>
      </c>
      <c r="F130" s="18">
        <v>1040083180</v>
      </c>
      <c r="G130" s="18">
        <v>244</v>
      </c>
      <c r="H130" s="6"/>
      <c r="I130" s="6"/>
      <c r="J130" s="6" t="e">
        <f>'приложение 4'!#REF!</f>
        <v>#REF!</v>
      </c>
    </row>
    <row r="131" spans="1:17" ht="56.25" hidden="1" x14ac:dyDescent="0.25">
      <c r="A131" s="220"/>
      <c r="B131" s="220"/>
      <c r="C131" s="15" t="s">
        <v>28</v>
      </c>
      <c r="D131" s="18">
        <v>934</v>
      </c>
      <c r="E131" s="8" t="s">
        <v>60</v>
      </c>
      <c r="F131" s="18">
        <v>1040083180</v>
      </c>
      <c r="G131" s="18">
        <v>244</v>
      </c>
      <c r="H131" s="6"/>
      <c r="I131" s="6"/>
      <c r="J131" s="6" t="e">
        <f>'приложение 4'!#REF!</f>
        <v>#REF!</v>
      </c>
    </row>
    <row r="132" spans="1:17" ht="56.25" hidden="1" x14ac:dyDescent="0.25">
      <c r="A132" s="220"/>
      <c r="B132" s="220"/>
      <c r="C132" s="15" t="s">
        <v>29</v>
      </c>
      <c r="D132" s="18">
        <v>937</v>
      </c>
      <c r="E132" s="8" t="s">
        <v>60</v>
      </c>
      <c r="F132" s="18">
        <v>1040083180</v>
      </c>
      <c r="G132" s="18">
        <v>244</v>
      </c>
      <c r="H132" s="6"/>
      <c r="I132" s="6"/>
      <c r="J132" s="6" t="e">
        <f>'приложение 4'!#REF!</f>
        <v>#REF!</v>
      </c>
    </row>
    <row r="133" spans="1:17" ht="37.5" x14ac:dyDescent="0.25">
      <c r="A133" s="22"/>
      <c r="B133" s="22" t="s">
        <v>134</v>
      </c>
      <c r="C133" s="22"/>
      <c r="D133" s="23"/>
      <c r="E133" s="8"/>
      <c r="F133" s="23"/>
      <c r="G133" s="23"/>
      <c r="H133" s="6">
        <f>H134+H135+H136+H137+H138+H139+H140+H141</f>
        <v>299015</v>
      </c>
      <c r="I133" s="6">
        <f>I134+I135+I136+I137+I138+I139+I140+I141</f>
        <v>392863.39</v>
      </c>
      <c r="J133" s="6" t="e">
        <f>J134+J135+J136+J137+J138+J139+J140+J141</f>
        <v>#REF!</v>
      </c>
    </row>
    <row r="134" spans="1:17" s="30" customFormat="1" ht="56.25" x14ac:dyDescent="0.25">
      <c r="A134" s="32"/>
      <c r="B134" s="32" t="s">
        <v>133</v>
      </c>
      <c r="C134" s="32" t="s">
        <v>30</v>
      </c>
      <c r="D134" s="27"/>
      <c r="E134" s="28"/>
      <c r="F134" s="27"/>
      <c r="G134" s="27"/>
      <c r="H134" s="29">
        <v>163310</v>
      </c>
      <c r="I134" s="29">
        <v>243460</v>
      </c>
      <c r="J134" s="29">
        <v>281230</v>
      </c>
      <c r="Q134" s="31"/>
    </row>
    <row r="135" spans="1:17" s="30" customFormat="1" ht="56.25" x14ac:dyDescent="0.25">
      <c r="A135" s="32"/>
      <c r="B135" s="32" t="s">
        <v>135</v>
      </c>
      <c r="C135" s="32" t="s">
        <v>30</v>
      </c>
      <c r="D135" s="27"/>
      <c r="E135" s="28"/>
      <c r="F135" s="27"/>
      <c r="G135" s="27"/>
      <c r="H135" s="29">
        <f>H122</f>
        <v>24519.4</v>
      </c>
      <c r="I135" s="29">
        <f>I122</f>
        <v>31616</v>
      </c>
      <c r="J135" s="29" t="e">
        <f>J122</f>
        <v>#REF!</v>
      </c>
      <c r="Q135" s="31"/>
    </row>
    <row r="136" spans="1:17" s="30" customFormat="1" ht="56.25" x14ac:dyDescent="0.25">
      <c r="A136" s="32"/>
      <c r="B136" s="32" t="s">
        <v>136</v>
      </c>
      <c r="C136" s="32" t="s">
        <v>30</v>
      </c>
      <c r="D136" s="27"/>
      <c r="E136" s="28"/>
      <c r="F136" s="27"/>
      <c r="G136" s="27"/>
      <c r="H136" s="29">
        <f>H184</f>
        <v>5805.2000000000007</v>
      </c>
      <c r="I136" s="29">
        <f>I184</f>
        <v>9945.81</v>
      </c>
      <c r="J136" s="29" t="e">
        <f>J184</f>
        <v>#REF!</v>
      </c>
      <c r="Q136" s="31"/>
    </row>
    <row r="137" spans="1:17" s="30" customFormat="1" ht="56.25" x14ac:dyDescent="0.25">
      <c r="A137" s="32"/>
      <c r="B137" s="32" t="s">
        <v>137</v>
      </c>
      <c r="C137" s="32" t="s">
        <v>30</v>
      </c>
      <c r="D137" s="27"/>
      <c r="E137" s="28"/>
      <c r="F137" s="27"/>
      <c r="G137" s="27"/>
      <c r="H137" s="29">
        <f>H181</f>
        <v>547.11</v>
      </c>
      <c r="I137" s="29">
        <f>I181</f>
        <v>913.92</v>
      </c>
      <c r="J137" s="29" t="e">
        <f>J181</f>
        <v>#REF!</v>
      </c>
      <c r="Q137" s="31"/>
    </row>
    <row r="138" spans="1:17" s="30" customFormat="1" ht="37.5" x14ac:dyDescent="0.25">
      <c r="A138" s="32"/>
      <c r="B138" s="32" t="s">
        <v>138</v>
      </c>
      <c r="C138" s="32" t="s">
        <v>31</v>
      </c>
      <c r="D138" s="27"/>
      <c r="E138" s="28"/>
      <c r="F138" s="27"/>
      <c r="G138" s="27"/>
      <c r="H138" s="29">
        <f>H165</f>
        <v>10095.58</v>
      </c>
      <c r="I138" s="29">
        <f>I165</f>
        <v>9012.0300000000007</v>
      </c>
      <c r="J138" s="29" t="e">
        <f>J165</f>
        <v>#REF!</v>
      </c>
      <c r="Q138" s="31"/>
    </row>
    <row r="139" spans="1:17" s="30" customFormat="1" ht="37.5" x14ac:dyDescent="0.25">
      <c r="A139" s="32"/>
      <c r="B139" s="32" t="s">
        <v>139</v>
      </c>
      <c r="C139" s="32" t="s">
        <v>31</v>
      </c>
      <c r="D139" s="27"/>
      <c r="E139" s="28"/>
      <c r="F139" s="27"/>
      <c r="G139" s="27"/>
      <c r="H139" s="29">
        <f>H125</f>
        <v>20179.099999999999</v>
      </c>
      <c r="I139" s="29">
        <f>I125</f>
        <v>23884.14</v>
      </c>
      <c r="J139" s="29" t="e">
        <f>J125</f>
        <v>#REF!</v>
      </c>
      <c r="Q139" s="31"/>
    </row>
    <row r="140" spans="1:17" s="30" customFormat="1" ht="37.5" x14ac:dyDescent="0.25">
      <c r="A140" s="32"/>
      <c r="B140" s="32" t="s">
        <v>140</v>
      </c>
      <c r="C140" s="32" t="s">
        <v>31</v>
      </c>
      <c r="D140" s="27"/>
      <c r="E140" s="28"/>
      <c r="F140" s="27"/>
      <c r="G140" s="27"/>
      <c r="H140" s="29">
        <f>H173</f>
        <v>0</v>
      </c>
      <c r="I140" s="29">
        <f>I173</f>
        <v>70</v>
      </c>
      <c r="J140" s="29" t="e">
        <f>J173</f>
        <v>#REF!</v>
      </c>
      <c r="Q140" s="31"/>
    </row>
    <row r="141" spans="1:17" s="30" customFormat="1" ht="56.25" x14ac:dyDescent="0.25">
      <c r="A141" s="32"/>
      <c r="B141" s="32" t="s">
        <v>141</v>
      </c>
      <c r="C141" s="32" t="s">
        <v>30</v>
      </c>
      <c r="D141" s="27"/>
      <c r="E141" s="28"/>
      <c r="F141" s="27"/>
      <c r="G141" s="27"/>
      <c r="H141" s="29">
        <f>H124-H134</f>
        <v>74558.609999999986</v>
      </c>
      <c r="I141" s="29">
        <f>I124-I134</f>
        <v>73961.489999999991</v>
      </c>
      <c r="J141" s="29" t="e">
        <f>J124-J134</f>
        <v>#REF!</v>
      </c>
      <c r="Q141" s="31"/>
    </row>
    <row r="142" spans="1:17" ht="18.75" hidden="1" x14ac:dyDescent="0.25">
      <c r="A142" s="22"/>
      <c r="B142" s="22"/>
      <c r="C142" s="22"/>
      <c r="D142" s="23"/>
      <c r="E142" s="8"/>
      <c r="F142" s="23"/>
      <c r="G142" s="23"/>
      <c r="H142" s="6"/>
      <c r="I142" s="6"/>
      <c r="J142" s="6"/>
    </row>
    <row r="143" spans="1:17" ht="18.75" hidden="1" x14ac:dyDescent="0.25">
      <c r="A143" s="22"/>
      <c r="B143" s="22"/>
      <c r="C143" s="22"/>
      <c r="D143" s="23"/>
      <c r="E143" s="8"/>
      <c r="F143" s="23"/>
      <c r="G143" s="23"/>
      <c r="H143" s="6"/>
      <c r="I143" s="6"/>
      <c r="J143" s="6"/>
    </row>
    <row r="144" spans="1:17" ht="18.75" hidden="1" x14ac:dyDescent="0.25">
      <c r="A144" s="22"/>
      <c r="B144" s="22"/>
      <c r="C144" s="22"/>
      <c r="D144" s="23"/>
      <c r="E144" s="8"/>
      <c r="F144" s="23"/>
      <c r="G144" s="23"/>
      <c r="H144" s="6"/>
      <c r="I144" s="6"/>
      <c r="J144" s="6"/>
    </row>
    <row r="145" spans="1:10" ht="18.75" hidden="1" x14ac:dyDescent="0.25">
      <c r="A145" s="22"/>
      <c r="B145" s="22"/>
      <c r="C145" s="22"/>
      <c r="D145" s="23"/>
      <c r="E145" s="8"/>
      <c r="F145" s="23"/>
      <c r="G145" s="23"/>
      <c r="H145" s="6"/>
      <c r="I145" s="6"/>
      <c r="J145" s="6"/>
    </row>
    <row r="146" spans="1:10" ht="18.75" hidden="1" x14ac:dyDescent="0.25">
      <c r="A146" s="22"/>
      <c r="B146" s="22"/>
      <c r="C146" s="22"/>
      <c r="D146" s="23"/>
      <c r="E146" s="8"/>
      <c r="F146" s="23"/>
      <c r="G146" s="23"/>
      <c r="H146" s="6"/>
      <c r="I146" s="6"/>
      <c r="J146" s="6"/>
    </row>
    <row r="147" spans="1:10" ht="18.75" hidden="1" x14ac:dyDescent="0.25">
      <c r="A147" s="22"/>
      <c r="B147" s="22"/>
      <c r="C147" s="22"/>
      <c r="D147" s="23"/>
      <c r="E147" s="8"/>
      <c r="F147" s="23"/>
      <c r="G147" s="23"/>
      <c r="H147" s="6"/>
      <c r="I147" s="6"/>
      <c r="J147" s="6"/>
    </row>
    <row r="148" spans="1:10" ht="18.75" hidden="1" x14ac:dyDescent="0.25">
      <c r="A148" s="22"/>
      <c r="B148" s="22"/>
      <c r="C148" s="22"/>
      <c r="D148" s="23"/>
      <c r="E148" s="8"/>
      <c r="F148" s="23"/>
      <c r="G148" s="23"/>
      <c r="H148" s="6"/>
      <c r="I148" s="6"/>
      <c r="J148" s="6"/>
    </row>
    <row r="149" spans="1:10" ht="18.75" hidden="1" x14ac:dyDescent="0.25">
      <c r="A149" s="22"/>
      <c r="B149" s="22"/>
      <c r="C149" s="22"/>
      <c r="D149" s="23"/>
      <c r="E149" s="8"/>
      <c r="F149" s="23"/>
      <c r="G149" s="23"/>
      <c r="H149" s="6"/>
      <c r="I149" s="6"/>
      <c r="J149" s="6"/>
    </row>
    <row r="150" spans="1:10" ht="18.75" hidden="1" x14ac:dyDescent="0.25">
      <c r="A150" s="22"/>
      <c r="B150" s="22"/>
      <c r="C150" s="22"/>
      <c r="D150" s="23"/>
      <c r="E150" s="8"/>
      <c r="F150" s="23"/>
      <c r="G150" s="23"/>
      <c r="H150" s="6"/>
      <c r="I150" s="6"/>
      <c r="J150" s="6"/>
    </row>
    <row r="151" spans="1:10" ht="18.75" hidden="1" x14ac:dyDescent="0.25">
      <c r="A151" s="22"/>
      <c r="B151" s="22"/>
      <c r="C151" s="22"/>
      <c r="D151" s="23"/>
      <c r="E151" s="8"/>
      <c r="F151" s="23"/>
      <c r="G151" s="23"/>
      <c r="H151" s="6"/>
      <c r="I151" s="6"/>
      <c r="J151" s="6"/>
    </row>
    <row r="152" spans="1:10" ht="18.75" hidden="1" x14ac:dyDescent="0.25">
      <c r="A152" s="22"/>
      <c r="B152" s="22"/>
      <c r="C152" s="22"/>
      <c r="D152" s="23"/>
      <c r="E152" s="8"/>
      <c r="F152" s="23"/>
      <c r="G152" s="23"/>
      <c r="H152" s="6"/>
      <c r="I152" s="6"/>
      <c r="J152" s="6"/>
    </row>
    <row r="153" spans="1:10" ht="18.75" hidden="1" x14ac:dyDescent="0.25">
      <c r="A153" s="22"/>
      <c r="B153" s="22"/>
      <c r="C153" s="22"/>
      <c r="D153" s="23"/>
      <c r="E153" s="8"/>
      <c r="F153" s="23"/>
      <c r="G153" s="23"/>
      <c r="H153" s="6"/>
      <c r="I153" s="6"/>
      <c r="J153" s="6"/>
    </row>
    <row r="154" spans="1:10" ht="18.75" hidden="1" x14ac:dyDescent="0.25">
      <c r="A154" s="22"/>
      <c r="B154" s="22"/>
      <c r="C154" s="22"/>
      <c r="D154" s="23"/>
      <c r="E154" s="8"/>
      <c r="F154" s="23"/>
      <c r="G154" s="23"/>
      <c r="H154" s="6"/>
      <c r="I154" s="6"/>
      <c r="J154" s="6"/>
    </row>
    <row r="155" spans="1:10" ht="18.75" hidden="1" x14ac:dyDescent="0.25">
      <c r="A155" s="22"/>
      <c r="B155" s="22"/>
      <c r="C155" s="22"/>
      <c r="D155" s="23"/>
      <c r="E155" s="8"/>
      <c r="F155" s="23"/>
      <c r="G155" s="23"/>
      <c r="H155" s="6"/>
      <c r="I155" s="6"/>
      <c r="J155" s="6"/>
    </row>
    <row r="156" spans="1:10" ht="18.75" hidden="1" x14ac:dyDescent="0.25">
      <c r="A156" s="22"/>
      <c r="B156" s="22"/>
      <c r="C156" s="22"/>
      <c r="D156" s="23"/>
      <c r="E156" s="8"/>
      <c r="F156" s="23"/>
      <c r="G156" s="23"/>
      <c r="H156" s="6"/>
      <c r="I156" s="6"/>
      <c r="J156" s="6"/>
    </row>
    <row r="157" spans="1:10" ht="18.75" hidden="1" x14ac:dyDescent="0.25">
      <c r="A157" s="22"/>
      <c r="B157" s="22"/>
      <c r="C157" s="22"/>
      <c r="D157" s="23"/>
      <c r="E157" s="8"/>
      <c r="F157" s="23"/>
      <c r="G157" s="23"/>
      <c r="H157" s="6"/>
      <c r="I157" s="6"/>
      <c r="J157" s="6"/>
    </row>
    <row r="158" spans="1:10" ht="18.75" hidden="1" x14ac:dyDescent="0.25">
      <c r="A158" s="22"/>
      <c r="B158" s="22"/>
      <c r="C158" s="22"/>
      <c r="D158" s="23"/>
      <c r="E158" s="8"/>
      <c r="F158" s="23"/>
      <c r="G158" s="23"/>
      <c r="H158" s="6"/>
      <c r="I158" s="6"/>
      <c r="J158" s="6"/>
    </row>
    <row r="159" spans="1:10" ht="18.75" hidden="1" x14ac:dyDescent="0.25">
      <c r="A159" s="22"/>
      <c r="B159" s="22"/>
      <c r="C159" s="22"/>
      <c r="D159" s="23"/>
      <c r="E159" s="8"/>
      <c r="F159" s="23"/>
      <c r="G159" s="23"/>
      <c r="H159" s="6"/>
      <c r="I159" s="6"/>
      <c r="J159" s="6"/>
    </row>
    <row r="160" spans="1:10" ht="131.25" x14ac:dyDescent="0.25">
      <c r="A160" s="15"/>
      <c r="B160" s="15" t="s">
        <v>146</v>
      </c>
      <c r="C160" s="15" t="s">
        <v>30</v>
      </c>
      <c r="D160" s="18">
        <v>915</v>
      </c>
      <c r="E160" s="8" t="s">
        <v>60</v>
      </c>
      <c r="F160" s="18">
        <v>1040083190</v>
      </c>
      <c r="G160" s="18">
        <v>243</v>
      </c>
      <c r="H160" s="6">
        <v>195909.32</v>
      </c>
      <c r="I160" s="6">
        <v>246230.1</v>
      </c>
      <c r="J160" s="6" t="e">
        <f>'приложение 4'!#REF!</f>
        <v>#REF!</v>
      </c>
    </row>
    <row r="161" spans="1:10" ht="150" x14ac:dyDescent="0.25">
      <c r="A161" s="220"/>
      <c r="B161" s="220" t="s">
        <v>44</v>
      </c>
      <c r="C161" s="22" t="s">
        <v>142</v>
      </c>
      <c r="D161" s="10">
        <v>915912</v>
      </c>
      <c r="E161" s="8" t="s">
        <v>62</v>
      </c>
      <c r="F161" s="18">
        <v>1040086160</v>
      </c>
      <c r="G161" s="18">
        <v>244</v>
      </c>
      <c r="H161" s="6">
        <f>H162+H163+H164</f>
        <v>8560.49</v>
      </c>
      <c r="I161" s="6">
        <f>I162+I163+I164</f>
        <v>6160</v>
      </c>
      <c r="J161" s="6" t="e">
        <f>'приложение 4'!#REF!</f>
        <v>#REF!</v>
      </c>
    </row>
    <row r="162" spans="1:10" ht="56.25" hidden="1" x14ac:dyDescent="0.25">
      <c r="A162" s="220"/>
      <c r="B162" s="220"/>
      <c r="C162" s="15" t="s">
        <v>30</v>
      </c>
      <c r="D162" s="18">
        <v>915</v>
      </c>
      <c r="E162" s="8" t="s">
        <v>62</v>
      </c>
      <c r="F162" s="18">
        <v>1040086160</v>
      </c>
      <c r="G162" s="18">
        <v>244</v>
      </c>
      <c r="H162" s="6">
        <v>5726.11</v>
      </c>
      <c r="I162" s="6">
        <v>3949</v>
      </c>
      <c r="J162" s="6" t="e">
        <f>'приложение 4'!#REF!</f>
        <v>#REF!</v>
      </c>
    </row>
    <row r="163" spans="1:10" ht="75" hidden="1" x14ac:dyDescent="0.25">
      <c r="A163" s="220"/>
      <c r="B163" s="220"/>
      <c r="C163" s="15" t="s">
        <v>72</v>
      </c>
      <c r="D163" s="18">
        <v>900</v>
      </c>
      <c r="E163" s="8" t="s">
        <v>62</v>
      </c>
      <c r="F163" s="18">
        <v>1040086160</v>
      </c>
      <c r="G163" s="18">
        <v>244</v>
      </c>
      <c r="H163" s="6">
        <v>0</v>
      </c>
      <c r="I163" s="6">
        <v>0</v>
      </c>
      <c r="J163" s="6" t="e">
        <f>'приложение 4'!#REF!</f>
        <v>#REF!</v>
      </c>
    </row>
    <row r="164" spans="1:10" ht="56.25" hidden="1" x14ac:dyDescent="0.25">
      <c r="A164" s="220"/>
      <c r="B164" s="220"/>
      <c r="C164" s="15" t="s">
        <v>41</v>
      </c>
      <c r="D164" s="18">
        <v>912</v>
      </c>
      <c r="E164" s="8" t="s">
        <v>62</v>
      </c>
      <c r="F164" s="18">
        <v>1040086160</v>
      </c>
      <c r="G164" s="18">
        <v>244</v>
      </c>
      <c r="H164" s="6">
        <v>2834.38</v>
      </c>
      <c r="I164" s="6">
        <v>2211</v>
      </c>
      <c r="J164" s="6" t="e">
        <f>'приложение 4'!#REF!</f>
        <v>#REF!</v>
      </c>
    </row>
    <row r="165" spans="1:10" ht="56.25" hidden="1" x14ac:dyDescent="0.25">
      <c r="A165" s="220"/>
      <c r="B165" s="220" t="s">
        <v>80</v>
      </c>
      <c r="C165" s="15" t="s">
        <v>31</v>
      </c>
      <c r="D165" s="8" t="s">
        <v>53</v>
      </c>
      <c r="E165" s="8" t="s">
        <v>57</v>
      </c>
      <c r="F165" s="18">
        <v>1040083200</v>
      </c>
      <c r="G165" s="18">
        <v>244</v>
      </c>
      <c r="H165" s="6">
        <v>10095.58</v>
      </c>
      <c r="I165" s="6">
        <v>9012.0300000000007</v>
      </c>
      <c r="J165" s="6" t="e">
        <f>'приложение 4'!#REF!</f>
        <v>#REF!</v>
      </c>
    </row>
    <row r="166" spans="1:10" ht="56.25" hidden="1" x14ac:dyDescent="0.25">
      <c r="A166" s="220"/>
      <c r="B166" s="220"/>
      <c r="C166" s="15" t="s">
        <v>23</v>
      </c>
      <c r="D166" s="18">
        <v>919</v>
      </c>
      <c r="E166" s="8" t="s">
        <v>57</v>
      </c>
      <c r="F166" s="18">
        <v>1040083200</v>
      </c>
      <c r="G166" s="18">
        <v>244</v>
      </c>
      <c r="H166" s="6"/>
      <c r="I166" s="6"/>
      <c r="J166" s="6" t="e">
        <f>'приложение 4'!#REF!</f>
        <v>#REF!</v>
      </c>
    </row>
    <row r="167" spans="1:10" ht="56.25" hidden="1" x14ac:dyDescent="0.25">
      <c r="A167" s="220"/>
      <c r="B167" s="220"/>
      <c r="C167" s="15" t="s">
        <v>24</v>
      </c>
      <c r="D167" s="18">
        <v>922</v>
      </c>
      <c r="E167" s="8" t="s">
        <v>57</v>
      </c>
      <c r="F167" s="18">
        <v>1040083200</v>
      </c>
      <c r="G167" s="18">
        <v>244</v>
      </c>
      <c r="H167" s="6"/>
      <c r="I167" s="6"/>
      <c r="J167" s="6" t="e">
        <f>'приложение 4'!#REF!</f>
        <v>#REF!</v>
      </c>
    </row>
    <row r="168" spans="1:10" ht="56.25" hidden="1" x14ac:dyDescent="0.25">
      <c r="A168" s="220"/>
      <c r="B168" s="220"/>
      <c r="C168" s="15" t="s">
        <v>25</v>
      </c>
      <c r="D168" s="18">
        <v>925</v>
      </c>
      <c r="E168" s="8" t="s">
        <v>57</v>
      </c>
      <c r="F168" s="18">
        <v>1040083200</v>
      </c>
      <c r="G168" s="18">
        <v>244</v>
      </c>
      <c r="H168" s="6"/>
      <c r="I168" s="6"/>
      <c r="J168" s="6" t="e">
        <f>'приложение 4'!#REF!</f>
        <v>#REF!</v>
      </c>
    </row>
    <row r="169" spans="1:10" ht="56.25" hidden="1" x14ac:dyDescent="0.25">
      <c r="A169" s="220"/>
      <c r="B169" s="220"/>
      <c r="C169" s="15" t="s">
        <v>26</v>
      </c>
      <c r="D169" s="18">
        <v>928</v>
      </c>
      <c r="E169" s="8" t="s">
        <v>57</v>
      </c>
      <c r="F169" s="18">
        <v>1040083200</v>
      </c>
      <c r="G169" s="18">
        <v>244</v>
      </c>
      <c r="H169" s="6"/>
      <c r="I169" s="6"/>
      <c r="J169" s="6" t="e">
        <f>'приложение 4'!#REF!</f>
        <v>#REF!</v>
      </c>
    </row>
    <row r="170" spans="1:10" ht="56.25" hidden="1" x14ac:dyDescent="0.25">
      <c r="A170" s="220"/>
      <c r="B170" s="220"/>
      <c r="C170" s="15" t="s">
        <v>27</v>
      </c>
      <c r="D170" s="18">
        <v>931</v>
      </c>
      <c r="E170" s="8" t="s">
        <v>57</v>
      </c>
      <c r="F170" s="18">
        <v>1040083200</v>
      </c>
      <c r="G170" s="18">
        <v>244</v>
      </c>
      <c r="H170" s="6"/>
      <c r="I170" s="6"/>
      <c r="J170" s="6" t="e">
        <f>'приложение 4'!#REF!</f>
        <v>#REF!</v>
      </c>
    </row>
    <row r="171" spans="1:10" ht="56.25" hidden="1" x14ac:dyDescent="0.25">
      <c r="A171" s="220"/>
      <c r="B171" s="220"/>
      <c r="C171" s="15" t="s">
        <v>28</v>
      </c>
      <c r="D171" s="18">
        <v>934</v>
      </c>
      <c r="E171" s="8" t="s">
        <v>57</v>
      </c>
      <c r="F171" s="18">
        <v>1040083200</v>
      </c>
      <c r="G171" s="18">
        <v>244</v>
      </c>
      <c r="H171" s="6"/>
      <c r="I171" s="6"/>
      <c r="J171" s="6" t="e">
        <f>'приложение 4'!#REF!</f>
        <v>#REF!</v>
      </c>
    </row>
    <row r="172" spans="1:10" ht="56.25" hidden="1" x14ac:dyDescent="0.25">
      <c r="A172" s="220"/>
      <c r="B172" s="220"/>
      <c r="C172" s="15" t="s">
        <v>29</v>
      </c>
      <c r="D172" s="18">
        <v>937</v>
      </c>
      <c r="E172" s="8" t="s">
        <v>57</v>
      </c>
      <c r="F172" s="18">
        <v>1040083200</v>
      </c>
      <c r="G172" s="18">
        <v>244</v>
      </c>
      <c r="H172" s="6"/>
      <c r="I172" s="6"/>
      <c r="J172" s="6" t="e">
        <f>'приложение 4'!#REF!</f>
        <v>#REF!</v>
      </c>
    </row>
    <row r="173" spans="1:10" ht="56.25" hidden="1" x14ac:dyDescent="0.25">
      <c r="A173" s="220"/>
      <c r="B173" s="220" t="s">
        <v>45</v>
      </c>
      <c r="C173" s="15" t="s">
        <v>31</v>
      </c>
      <c r="D173" s="8" t="s">
        <v>53</v>
      </c>
      <c r="E173" s="8" t="s">
        <v>57</v>
      </c>
      <c r="F173" s="18">
        <v>1040083250</v>
      </c>
      <c r="G173" s="18">
        <v>244</v>
      </c>
      <c r="H173" s="6">
        <v>0</v>
      </c>
      <c r="I173" s="6">
        <v>70</v>
      </c>
      <c r="J173" s="6" t="e">
        <f>'приложение 4'!#REF!</f>
        <v>#REF!</v>
      </c>
    </row>
    <row r="174" spans="1:10" ht="56.25" hidden="1" x14ac:dyDescent="0.25">
      <c r="A174" s="220"/>
      <c r="B174" s="220"/>
      <c r="C174" s="15" t="s">
        <v>23</v>
      </c>
      <c r="D174" s="18">
        <v>919</v>
      </c>
      <c r="E174" s="8" t="s">
        <v>57</v>
      </c>
      <c r="F174" s="18">
        <v>1040083250</v>
      </c>
      <c r="G174" s="18">
        <v>244</v>
      </c>
      <c r="H174" s="6"/>
      <c r="I174" s="6"/>
      <c r="J174" s="6" t="e">
        <f>'приложение 4'!#REF!</f>
        <v>#REF!</v>
      </c>
    </row>
    <row r="175" spans="1:10" ht="56.25" hidden="1" x14ac:dyDescent="0.25">
      <c r="A175" s="220"/>
      <c r="B175" s="220"/>
      <c r="C175" s="15" t="s">
        <v>24</v>
      </c>
      <c r="D175" s="18">
        <v>922</v>
      </c>
      <c r="E175" s="8" t="s">
        <v>57</v>
      </c>
      <c r="F175" s="18">
        <v>1040083250</v>
      </c>
      <c r="G175" s="18">
        <v>244</v>
      </c>
      <c r="H175" s="6"/>
      <c r="I175" s="6"/>
      <c r="J175" s="6" t="e">
        <f>'приложение 4'!#REF!</f>
        <v>#REF!</v>
      </c>
    </row>
    <row r="176" spans="1:10" ht="56.25" hidden="1" x14ac:dyDescent="0.25">
      <c r="A176" s="220"/>
      <c r="B176" s="220"/>
      <c r="C176" s="15" t="s">
        <v>25</v>
      </c>
      <c r="D176" s="18">
        <v>925</v>
      </c>
      <c r="E176" s="8" t="s">
        <v>57</v>
      </c>
      <c r="F176" s="18">
        <v>1040083250</v>
      </c>
      <c r="G176" s="18">
        <v>244</v>
      </c>
      <c r="H176" s="6"/>
      <c r="I176" s="6"/>
      <c r="J176" s="6" t="e">
        <f>'приложение 4'!#REF!</f>
        <v>#REF!</v>
      </c>
    </row>
    <row r="177" spans="1:11" ht="56.25" hidden="1" x14ac:dyDescent="0.25">
      <c r="A177" s="220"/>
      <c r="B177" s="220"/>
      <c r="C177" s="15" t="s">
        <v>26</v>
      </c>
      <c r="D177" s="18">
        <v>928</v>
      </c>
      <c r="E177" s="8" t="s">
        <v>57</v>
      </c>
      <c r="F177" s="18">
        <v>1040083250</v>
      </c>
      <c r="G177" s="18">
        <v>244</v>
      </c>
      <c r="H177" s="6"/>
      <c r="I177" s="6"/>
      <c r="J177" s="6" t="e">
        <f>'приложение 4'!#REF!</f>
        <v>#REF!</v>
      </c>
    </row>
    <row r="178" spans="1:11" ht="56.25" hidden="1" x14ac:dyDescent="0.25">
      <c r="A178" s="220"/>
      <c r="B178" s="220"/>
      <c r="C178" s="15" t="s">
        <v>27</v>
      </c>
      <c r="D178" s="18">
        <v>931</v>
      </c>
      <c r="E178" s="8" t="s">
        <v>57</v>
      </c>
      <c r="F178" s="18">
        <v>1040083250</v>
      </c>
      <c r="G178" s="18">
        <v>244</v>
      </c>
      <c r="H178" s="6"/>
      <c r="I178" s="6"/>
      <c r="J178" s="6" t="e">
        <f>'приложение 4'!#REF!</f>
        <v>#REF!</v>
      </c>
    </row>
    <row r="179" spans="1:11" ht="56.25" hidden="1" x14ac:dyDescent="0.25">
      <c r="A179" s="220"/>
      <c r="B179" s="220"/>
      <c r="C179" s="15" t="s">
        <v>28</v>
      </c>
      <c r="D179" s="18">
        <v>934</v>
      </c>
      <c r="E179" s="8" t="s">
        <v>57</v>
      </c>
      <c r="F179" s="18">
        <v>1040083250</v>
      </c>
      <c r="G179" s="18">
        <v>244</v>
      </c>
      <c r="H179" s="6"/>
      <c r="I179" s="6"/>
      <c r="J179" s="6" t="e">
        <f>'приложение 4'!#REF!</f>
        <v>#REF!</v>
      </c>
    </row>
    <row r="180" spans="1:11" ht="56.25" hidden="1" x14ac:dyDescent="0.25">
      <c r="A180" s="220"/>
      <c r="B180" s="220"/>
      <c r="C180" s="15" t="s">
        <v>29</v>
      </c>
      <c r="D180" s="18">
        <v>937</v>
      </c>
      <c r="E180" s="8" t="s">
        <v>57</v>
      </c>
      <c r="F180" s="18">
        <v>1040083250</v>
      </c>
      <c r="G180" s="18">
        <v>244</v>
      </c>
      <c r="H180" s="6"/>
      <c r="I180" s="6"/>
      <c r="J180" s="6" t="e">
        <f>'приложение 4'!#REF!</f>
        <v>#REF!</v>
      </c>
    </row>
    <row r="181" spans="1:11" ht="37.5" hidden="1" x14ac:dyDescent="0.25">
      <c r="A181" s="220"/>
      <c r="B181" s="15" t="s">
        <v>46</v>
      </c>
      <c r="C181" s="220" t="s">
        <v>30</v>
      </c>
      <c r="D181" s="18" t="s">
        <v>74</v>
      </c>
      <c r="E181" s="8" t="s">
        <v>74</v>
      </c>
      <c r="F181" s="10" t="s">
        <v>74</v>
      </c>
      <c r="G181" s="18" t="s">
        <v>74</v>
      </c>
      <c r="H181" s="6">
        <f>H182+H183</f>
        <v>547.11</v>
      </c>
      <c r="I181" s="6">
        <f>I182+I183</f>
        <v>913.92</v>
      </c>
      <c r="J181" s="6" t="e">
        <f>'приложение 4'!#REF!</f>
        <v>#REF!</v>
      </c>
    </row>
    <row r="182" spans="1:11" ht="18.75" hidden="1" x14ac:dyDescent="0.25">
      <c r="A182" s="220"/>
      <c r="B182" s="15" t="s">
        <v>37</v>
      </c>
      <c r="C182" s="220"/>
      <c r="D182" s="18">
        <v>915</v>
      </c>
      <c r="E182" s="8" t="s">
        <v>60</v>
      </c>
      <c r="F182" s="18">
        <v>1040083550</v>
      </c>
      <c r="G182" s="18">
        <v>244</v>
      </c>
      <c r="H182" s="6">
        <v>58.62</v>
      </c>
      <c r="I182" s="6">
        <v>97.92</v>
      </c>
      <c r="J182" s="6" t="e">
        <f>'приложение 4'!#REF!</f>
        <v>#REF!</v>
      </c>
    </row>
    <row r="183" spans="1:11" ht="18.75" hidden="1" x14ac:dyDescent="0.25">
      <c r="A183" s="220"/>
      <c r="B183" s="15" t="s">
        <v>38</v>
      </c>
      <c r="C183" s="220"/>
      <c r="D183" s="18">
        <v>915</v>
      </c>
      <c r="E183" s="8" t="s">
        <v>60</v>
      </c>
      <c r="F183" s="18">
        <v>1040075550</v>
      </c>
      <c r="G183" s="18">
        <v>244</v>
      </c>
      <c r="H183" s="6">
        <v>488.49</v>
      </c>
      <c r="I183" s="6">
        <v>816</v>
      </c>
      <c r="J183" s="6" t="e">
        <f>'приложение 4'!#REF!</f>
        <v>#REF!</v>
      </c>
    </row>
    <row r="184" spans="1:11" ht="56.25" hidden="1" x14ac:dyDescent="0.25">
      <c r="A184" s="220"/>
      <c r="B184" s="15" t="s">
        <v>47</v>
      </c>
      <c r="C184" s="220" t="s">
        <v>30</v>
      </c>
      <c r="D184" s="18" t="s">
        <v>74</v>
      </c>
      <c r="E184" s="8" t="s">
        <v>74</v>
      </c>
      <c r="F184" s="18" t="s">
        <v>74</v>
      </c>
      <c r="G184" s="18" t="s">
        <v>74</v>
      </c>
      <c r="H184" s="6">
        <f>H185+H186</f>
        <v>5805.2000000000007</v>
      </c>
      <c r="I184" s="6">
        <f>I185+I186</f>
        <v>9945.81</v>
      </c>
      <c r="J184" s="6" t="e">
        <f>'приложение 4'!#REF!</f>
        <v>#REF!</v>
      </c>
    </row>
    <row r="185" spans="1:11" ht="18.75" hidden="1" x14ac:dyDescent="0.25">
      <c r="A185" s="220"/>
      <c r="B185" s="15" t="s">
        <v>37</v>
      </c>
      <c r="C185" s="220"/>
      <c r="D185" s="18">
        <v>915</v>
      </c>
      <c r="E185" s="8" t="s">
        <v>60</v>
      </c>
      <c r="F185" s="18">
        <v>1040083320</v>
      </c>
      <c r="G185" s="18">
        <v>244</v>
      </c>
      <c r="H185" s="6">
        <v>4611.8900000000003</v>
      </c>
      <c r="I185" s="6">
        <v>8433.91</v>
      </c>
      <c r="J185" s="6" t="e">
        <f>'приложение 4'!#REF!</f>
        <v>#REF!</v>
      </c>
      <c r="K185" s="7"/>
    </row>
    <row r="186" spans="1:11" ht="18.75" hidden="1" x14ac:dyDescent="0.25">
      <c r="A186" s="220"/>
      <c r="B186" s="15" t="s">
        <v>38</v>
      </c>
      <c r="C186" s="220"/>
      <c r="D186" s="18">
        <v>915</v>
      </c>
      <c r="E186" s="8" t="s">
        <v>60</v>
      </c>
      <c r="F186" s="18">
        <v>1040075180</v>
      </c>
      <c r="G186" s="18">
        <v>244</v>
      </c>
      <c r="H186" s="6">
        <v>1193.31</v>
      </c>
      <c r="I186" s="6">
        <v>1511.9</v>
      </c>
      <c r="J186" s="6" t="e">
        <f>'приложение 4'!#REF!</f>
        <v>#REF!</v>
      </c>
    </row>
    <row r="187" spans="1:11" ht="56.25" x14ac:dyDescent="0.25">
      <c r="A187" s="22"/>
      <c r="B187" s="22" t="s">
        <v>143</v>
      </c>
      <c r="C187" s="22" t="s">
        <v>30</v>
      </c>
      <c r="D187" s="23"/>
      <c r="E187" s="8"/>
      <c r="F187" s="23"/>
      <c r="G187" s="23"/>
      <c r="H187" s="6">
        <f>H188+H189</f>
        <v>4150</v>
      </c>
      <c r="I187" s="6">
        <f>I188+I189</f>
        <v>5000</v>
      </c>
      <c r="J187" s="6" t="e">
        <f>J188+J189</f>
        <v>#REF!</v>
      </c>
    </row>
    <row r="188" spans="1:11" ht="75" hidden="1" x14ac:dyDescent="0.25">
      <c r="A188" s="15"/>
      <c r="B188" s="15" t="s">
        <v>48</v>
      </c>
      <c r="C188" s="15" t="s">
        <v>30</v>
      </c>
      <c r="D188" s="18">
        <v>915</v>
      </c>
      <c r="E188" s="8" t="s">
        <v>59</v>
      </c>
      <c r="F188" s="18">
        <v>1040083300</v>
      </c>
      <c r="G188" s="18">
        <v>330</v>
      </c>
      <c r="H188" s="6">
        <v>225</v>
      </c>
      <c r="I188" s="6">
        <v>225</v>
      </c>
      <c r="J188" s="6" t="e">
        <f>'приложение 4'!#REF!</f>
        <v>#REF!</v>
      </c>
    </row>
    <row r="189" spans="1:11" ht="75" hidden="1" x14ac:dyDescent="0.25">
      <c r="A189" s="15"/>
      <c r="B189" s="15" t="s">
        <v>101</v>
      </c>
      <c r="C189" s="15" t="s">
        <v>30</v>
      </c>
      <c r="D189" s="18">
        <v>915</v>
      </c>
      <c r="E189" s="8" t="s">
        <v>59</v>
      </c>
      <c r="F189" s="18">
        <v>1040083310</v>
      </c>
      <c r="G189" s="18">
        <v>810</v>
      </c>
      <c r="H189" s="6">
        <v>3925</v>
      </c>
      <c r="I189" s="6">
        <v>4775</v>
      </c>
      <c r="J189" s="6" t="e">
        <f>'приложение 4'!#REF!</f>
        <v>#REF!</v>
      </c>
    </row>
    <row r="190" spans="1:11" ht="56.25" x14ac:dyDescent="0.25">
      <c r="A190" s="15"/>
      <c r="B190" s="15" t="s">
        <v>102</v>
      </c>
      <c r="C190" s="15" t="s">
        <v>30</v>
      </c>
      <c r="D190" s="18"/>
      <c r="E190" s="8"/>
      <c r="F190" s="18"/>
      <c r="G190" s="18"/>
      <c r="H190" s="6">
        <v>0</v>
      </c>
      <c r="I190" s="6">
        <f>12638.9+2361.1</f>
        <v>15000</v>
      </c>
      <c r="J190" s="6">
        <v>0</v>
      </c>
    </row>
    <row r="191" spans="1:11" ht="75" x14ac:dyDescent="0.25">
      <c r="A191" s="15"/>
      <c r="B191" s="15" t="s">
        <v>79</v>
      </c>
      <c r="C191" s="15" t="s">
        <v>72</v>
      </c>
      <c r="D191" s="18">
        <v>900</v>
      </c>
      <c r="E191" s="8" t="s">
        <v>71</v>
      </c>
      <c r="F191" s="18">
        <v>1040083210</v>
      </c>
      <c r="G191" s="18">
        <v>244</v>
      </c>
      <c r="H191" s="6">
        <v>3967.54</v>
      </c>
      <c r="I191" s="6">
        <v>997.8</v>
      </c>
      <c r="J191" s="6" t="e">
        <f>'приложение 4'!#REF!</f>
        <v>#REF!</v>
      </c>
    </row>
    <row r="192" spans="1:11" ht="75" x14ac:dyDescent="0.25">
      <c r="A192" s="15"/>
      <c r="B192" s="15" t="s">
        <v>73</v>
      </c>
      <c r="C192" s="15" t="s">
        <v>72</v>
      </c>
      <c r="D192" s="18">
        <v>900</v>
      </c>
      <c r="E192" s="8" t="s">
        <v>71</v>
      </c>
      <c r="F192" s="18">
        <v>1040083240</v>
      </c>
      <c r="G192" s="18">
        <v>244</v>
      </c>
      <c r="H192" s="6">
        <v>136.29</v>
      </c>
      <c r="I192" s="6">
        <v>300</v>
      </c>
      <c r="J192" s="6" t="e">
        <f>'приложение 4'!#REF!</f>
        <v>#REF!</v>
      </c>
    </row>
    <row r="193" spans="1:10" ht="131.25" hidden="1" x14ac:dyDescent="0.3">
      <c r="A193" s="15" t="s">
        <v>88</v>
      </c>
      <c r="B193" s="11" t="s">
        <v>91</v>
      </c>
      <c r="C193" s="15" t="s">
        <v>30</v>
      </c>
      <c r="D193" s="18">
        <v>915</v>
      </c>
      <c r="E193" s="8" t="s">
        <v>60</v>
      </c>
      <c r="F193" s="18">
        <v>1048337</v>
      </c>
      <c r="G193" s="12" t="s">
        <v>87</v>
      </c>
      <c r="H193" s="6">
        <v>0</v>
      </c>
      <c r="I193" s="6">
        <v>0</v>
      </c>
      <c r="J193" s="6" t="e">
        <f>'приложение 4'!#REF!</f>
        <v>#REF!</v>
      </c>
    </row>
    <row r="194" spans="1:10" ht="112.5" hidden="1" x14ac:dyDescent="0.3">
      <c r="A194" s="15" t="s">
        <v>89</v>
      </c>
      <c r="B194" s="13" t="s">
        <v>94</v>
      </c>
      <c r="C194" s="15" t="s">
        <v>30</v>
      </c>
      <c r="D194" s="18">
        <v>915</v>
      </c>
      <c r="E194" s="8" t="s">
        <v>60</v>
      </c>
      <c r="F194" s="18">
        <v>1048338</v>
      </c>
      <c r="G194" s="12" t="s">
        <v>95</v>
      </c>
      <c r="H194" s="6">
        <v>0</v>
      </c>
      <c r="I194" s="6">
        <v>0</v>
      </c>
      <c r="J194" s="6" t="e">
        <f>'приложение 4'!#REF!</f>
        <v>#REF!</v>
      </c>
    </row>
    <row r="195" spans="1:10" ht="112.5" hidden="1" x14ac:dyDescent="0.3">
      <c r="A195" s="15" t="s">
        <v>90</v>
      </c>
      <c r="B195" s="13" t="s">
        <v>92</v>
      </c>
      <c r="C195" s="15" t="s">
        <v>30</v>
      </c>
      <c r="D195" s="18">
        <v>915</v>
      </c>
      <c r="E195" s="8" t="s">
        <v>60</v>
      </c>
      <c r="F195" s="18"/>
      <c r="G195" s="12" t="s">
        <v>93</v>
      </c>
      <c r="H195" s="6">
        <v>0</v>
      </c>
      <c r="I195" s="6">
        <v>0</v>
      </c>
      <c r="J195" s="6" t="e">
        <f>'приложение 4'!#REF!</f>
        <v>#REF!</v>
      </c>
    </row>
    <row r="196" spans="1:10" ht="93.75" x14ac:dyDescent="0.3">
      <c r="A196" s="9"/>
      <c r="B196" s="21" t="s">
        <v>106</v>
      </c>
      <c r="C196" s="15" t="s">
        <v>30</v>
      </c>
      <c r="D196" s="18"/>
      <c r="E196" s="8"/>
      <c r="F196" s="18"/>
      <c r="G196" s="12"/>
      <c r="H196" s="6">
        <v>55447.19</v>
      </c>
      <c r="I196" s="6">
        <v>0</v>
      </c>
      <c r="J196" s="6">
        <v>0</v>
      </c>
    </row>
    <row r="197" spans="1:10" ht="37.5" x14ac:dyDescent="0.25">
      <c r="A197" s="217" t="s">
        <v>49</v>
      </c>
      <c r="B197" s="214" t="s">
        <v>50</v>
      </c>
      <c r="C197" s="15" t="s">
        <v>10</v>
      </c>
      <c r="D197" s="18"/>
      <c r="E197" s="8" t="s">
        <v>74</v>
      </c>
      <c r="F197" s="18">
        <v>1050000000</v>
      </c>
      <c r="G197" s="18" t="s">
        <v>74</v>
      </c>
      <c r="H197" s="6">
        <f>H198+H199</f>
        <v>333737.09000000003</v>
      </c>
      <c r="I197" s="6">
        <f>I198+I199</f>
        <v>330180.23</v>
      </c>
      <c r="J197" s="6" t="e">
        <f>'приложение 4'!#REF!</f>
        <v>#REF!</v>
      </c>
    </row>
    <row r="198" spans="1:10" ht="56.25" x14ac:dyDescent="0.25">
      <c r="A198" s="218"/>
      <c r="B198" s="215"/>
      <c r="C198" s="15" t="s">
        <v>30</v>
      </c>
      <c r="D198" s="18">
        <v>915</v>
      </c>
      <c r="E198" s="8" t="s">
        <v>74</v>
      </c>
      <c r="F198" s="18" t="s">
        <v>74</v>
      </c>
      <c r="G198" s="18" t="s">
        <v>74</v>
      </c>
      <c r="H198" s="6">
        <f>H200+H204+H214+H213</f>
        <v>304068.75</v>
      </c>
      <c r="I198" s="6">
        <f>I200+I204+I213+I214</f>
        <v>270146.31999999995</v>
      </c>
      <c r="J198" s="6" t="e">
        <f>'приложение 4'!#REF!</f>
        <v>#REF!</v>
      </c>
    </row>
    <row r="199" spans="1:10" ht="75" x14ac:dyDescent="0.25">
      <c r="A199" s="219"/>
      <c r="B199" s="216"/>
      <c r="C199" s="15" t="s">
        <v>72</v>
      </c>
      <c r="D199" s="18">
        <v>900</v>
      </c>
      <c r="E199" s="8" t="s">
        <v>74</v>
      </c>
      <c r="F199" s="18" t="s">
        <v>74</v>
      </c>
      <c r="G199" s="18" t="s">
        <v>74</v>
      </c>
      <c r="H199" s="6">
        <f>H205</f>
        <v>29668.34</v>
      </c>
      <c r="I199" s="6">
        <f>I205</f>
        <v>60033.91</v>
      </c>
      <c r="J199" s="6" t="e">
        <f>'приложение 4'!#REF!</f>
        <v>#REF!</v>
      </c>
    </row>
    <row r="200" spans="1:10" ht="56.25" x14ac:dyDescent="0.25">
      <c r="A200" s="220"/>
      <c r="B200" s="220" t="s">
        <v>51</v>
      </c>
      <c r="C200" s="15" t="s">
        <v>11</v>
      </c>
      <c r="D200" s="18">
        <v>915</v>
      </c>
      <c r="E200" s="8" t="s">
        <v>59</v>
      </c>
      <c r="F200" s="18">
        <v>1050000210</v>
      </c>
      <c r="G200" s="18" t="s">
        <v>74</v>
      </c>
      <c r="H200" s="6">
        <v>106078.86</v>
      </c>
      <c r="I200" s="6">
        <v>91837.65</v>
      </c>
      <c r="J200" s="6" t="e">
        <f>'приложение 4'!#REF!</f>
        <v>#REF!</v>
      </c>
    </row>
    <row r="201" spans="1:10" ht="56.25" hidden="1" x14ac:dyDescent="0.25">
      <c r="A201" s="220"/>
      <c r="B201" s="220"/>
      <c r="C201" s="15" t="s">
        <v>30</v>
      </c>
      <c r="D201" s="18">
        <v>915</v>
      </c>
      <c r="E201" s="8" t="s">
        <v>59</v>
      </c>
      <c r="F201" s="18">
        <v>1050000210</v>
      </c>
      <c r="G201" s="18">
        <v>121</v>
      </c>
      <c r="H201" s="6">
        <v>79238.509999999995</v>
      </c>
      <c r="I201" s="6">
        <v>79238.509999999995</v>
      </c>
      <c r="J201" s="6" t="e">
        <f>'приложение 4'!#REF!</f>
        <v>#REF!</v>
      </c>
    </row>
    <row r="202" spans="1:10" ht="56.25" hidden="1" x14ac:dyDescent="0.25">
      <c r="A202" s="220"/>
      <c r="B202" s="220"/>
      <c r="C202" s="15" t="s">
        <v>30</v>
      </c>
      <c r="D202" s="18">
        <v>915</v>
      </c>
      <c r="E202" s="8" t="s">
        <v>59</v>
      </c>
      <c r="F202" s="18">
        <v>1050000210</v>
      </c>
      <c r="G202" s="18">
        <v>244</v>
      </c>
      <c r="H202" s="6">
        <v>6250.44</v>
      </c>
      <c r="I202" s="6">
        <v>6250.44</v>
      </c>
      <c r="J202" s="6" t="e">
        <f>'приложение 4'!#REF!</f>
        <v>#REF!</v>
      </c>
    </row>
    <row r="203" spans="1:10" ht="37.5" x14ac:dyDescent="0.25">
      <c r="A203" s="214"/>
      <c r="B203" s="214" t="s">
        <v>52</v>
      </c>
      <c r="C203" s="15" t="s">
        <v>10</v>
      </c>
      <c r="D203" s="18" t="s">
        <v>74</v>
      </c>
      <c r="E203" s="8" t="s">
        <v>74</v>
      </c>
      <c r="F203" s="18">
        <v>1050000610</v>
      </c>
      <c r="G203" s="18" t="s">
        <v>74</v>
      </c>
      <c r="H203" s="6">
        <f>H204+H205</f>
        <v>222754.87</v>
      </c>
      <c r="I203" s="6">
        <f>I204+I205</f>
        <v>223502.02</v>
      </c>
      <c r="J203" s="6" t="e">
        <f>'приложение 4'!#REF!</f>
        <v>#REF!</v>
      </c>
    </row>
    <row r="204" spans="1:10" ht="56.25" x14ac:dyDescent="0.25">
      <c r="A204" s="215"/>
      <c r="B204" s="215"/>
      <c r="C204" s="15" t="s">
        <v>11</v>
      </c>
      <c r="D204" s="18">
        <v>915</v>
      </c>
      <c r="E204" s="8" t="s">
        <v>59</v>
      </c>
      <c r="F204" s="18">
        <v>1050000610</v>
      </c>
      <c r="G204" s="10" t="s">
        <v>74</v>
      </c>
      <c r="H204" s="6">
        <v>193086.53</v>
      </c>
      <c r="I204" s="6">
        <v>163468.10999999999</v>
      </c>
      <c r="J204" s="6" t="e">
        <f>'приложение 4'!#REF!</f>
        <v>#REF!</v>
      </c>
    </row>
    <row r="205" spans="1:10" ht="93.75" x14ac:dyDescent="0.25">
      <c r="A205" s="215"/>
      <c r="B205" s="215"/>
      <c r="C205" s="15" t="s">
        <v>76</v>
      </c>
      <c r="D205" s="18">
        <v>900</v>
      </c>
      <c r="E205" s="8" t="s">
        <v>71</v>
      </c>
      <c r="F205" s="18">
        <v>1050000610</v>
      </c>
      <c r="G205" s="10" t="s">
        <v>74</v>
      </c>
      <c r="H205" s="6">
        <v>29668.34</v>
      </c>
      <c r="I205" s="6">
        <v>60033.91</v>
      </c>
      <c r="J205" s="6" t="e">
        <f>'приложение 4'!#REF!</f>
        <v>#REF!</v>
      </c>
    </row>
    <row r="206" spans="1:10" ht="56.25" hidden="1" x14ac:dyDescent="0.25">
      <c r="A206" s="215"/>
      <c r="B206" s="215"/>
      <c r="C206" s="15" t="s">
        <v>30</v>
      </c>
      <c r="D206" s="18">
        <v>915</v>
      </c>
      <c r="E206" s="8" t="s">
        <v>59</v>
      </c>
      <c r="F206" s="18">
        <v>1050000610</v>
      </c>
      <c r="G206" s="18">
        <v>111</v>
      </c>
      <c r="H206" s="6">
        <f>39908.71+86360.66</f>
        <v>126269.37</v>
      </c>
      <c r="I206" s="6">
        <v>126269.37</v>
      </c>
      <c r="J206" s="6" t="e">
        <f>'приложение 4'!#REF!</f>
        <v>#REF!</v>
      </c>
    </row>
    <row r="207" spans="1:10" ht="56.25" hidden="1" x14ac:dyDescent="0.25">
      <c r="A207" s="215"/>
      <c r="B207" s="215"/>
      <c r="C207" s="15" t="s">
        <v>30</v>
      </c>
      <c r="D207" s="18">
        <v>915</v>
      </c>
      <c r="E207" s="8" t="s">
        <v>59</v>
      </c>
      <c r="F207" s="18">
        <v>1050000610</v>
      </c>
      <c r="G207" s="18">
        <v>244</v>
      </c>
      <c r="H207" s="6">
        <v>17000</v>
      </c>
      <c r="I207" s="6">
        <v>17000</v>
      </c>
      <c r="J207" s="6" t="e">
        <f>'приложение 4'!#REF!</f>
        <v>#REF!</v>
      </c>
    </row>
    <row r="208" spans="1:10" ht="75" hidden="1" x14ac:dyDescent="0.25">
      <c r="A208" s="215"/>
      <c r="B208" s="215"/>
      <c r="C208" s="15" t="s">
        <v>72</v>
      </c>
      <c r="D208" s="18">
        <v>900</v>
      </c>
      <c r="E208" s="8" t="s">
        <v>71</v>
      </c>
      <c r="F208" s="18">
        <v>1050000610</v>
      </c>
      <c r="G208" s="18">
        <v>111</v>
      </c>
      <c r="H208" s="6">
        <v>49111.15</v>
      </c>
      <c r="I208" s="6">
        <v>49111.15</v>
      </c>
      <c r="J208" s="6" t="e">
        <f>'приложение 4'!#REF!</f>
        <v>#REF!</v>
      </c>
    </row>
    <row r="209" spans="1:10" ht="75" hidden="1" x14ac:dyDescent="0.25">
      <c r="A209" s="215"/>
      <c r="B209" s="215"/>
      <c r="C209" s="15" t="s">
        <v>72</v>
      </c>
      <c r="D209" s="18">
        <v>900</v>
      </c>
      <c r="E209" s="8" t="s">
        <v>71</v>
      </c>
      <c r="F209" s="18">
        <v>1050000610</v>
      </c>
      <c r="G209" s="18">
        <v>112</v>
      </c>
      <c r="H209" s="6">
        <v>85.72</v>
      </c>
      <c r="I209" s="6">
        <v>85.72</v>
      </c>
      <c r="J209" s="6" t="e">
        <f>'приложение 4'!#REF!</f>
        <v>#REF!</v>
      </c>
    </row>
    <row r="210" spans="1:10" ht="75" hidden="1" x14ac:dyDescent="0.25">
      <c r="A210" s="215"/>
      <c r="B210" s="215"/>
      <c r="C210" s="15" t="s">
        <v>72</v>
      </c>
      <c r="D210" s="18">
        <v>900</v>
      </c>
      <c r="E210" s="8" t="s">
        <v>71</v>
      </c>
      <c r="F210" s="18">
        <v>1050000610</v>
      </c>
      <c r="G210" s="18">
        <v>112</v>
      </c>
      <c r="H210" s="6">
        <v>14831.56</v>
      </c>
      <c r="I210" s="6">
        <v>14831.56</v>
      </c>
      <c r="J210" s="6" t="e">
        <f>'приложение 4'!#REF!</f>
        <v>#REF!</v>
      </c>
    </row>
    <row r="211" spans="1:10" ht="75" hidden="1" x14ac:dyDescent="0.25">
      <c r="A211" s="215"/>
      <c r="B211" s="215"/>
      <c r="C211" s="15" t="s">
        <v>72</v>
      </c>
      <c r="D211" s="18">
        <v>900</v>
      </c>
      <c r="E211" s="8" t="s">
        <v>71</v>
      </c>
      <c r="F211" s="18">
        <v>1050000610</v>
      </c>
      <c r="G211" s="18">
        <v>244</v>
      </c>
      <c r="H211" s="6">
        <v>6703.35</v>
      </c>
      <c r="I211" s="6">
        <v>6703.35</v>
      </c>
      <c r="J211" s="6" t="e">
        <f>'приложение 4'!#REF!</f>
        <v>#REF!</v>
      </c>
    </row>
    <row r="212" spans="1:10" ht="75" hidden="1" x14ac:dyDescent="0.25">
      <c r="A212" s="216"/>
      <c r="B212" s="216"/>
      <c r="C212" s="15" t="s">
        <v>72</v>
      </c>
      <c r="D212" s="18">
        <v>900</v>
      </c>
      <c r="E212" s="8" t="s">
        <v>71</v>
      </c>
      <c r="F212" s="18">
        <v>1050000610</v>
      </c>
      <c r="G212" s="18">
        <v>852</v>
      </c>
      <c r="H212" s="6">
        <v>10</v>
      </c>
      <c r="I212" s="6">
        <v>10</v>
      </c>
      <c r="J212" s="6" t="e">
        <f>'приложение 4'!#REF!</f>
        <v>#REF!</v>
      </c>
    </row>
    <row r="213" spans="1:10" ht="93.75" x14ac:dyDescent="0.25">
      <c r="A213" s="15"/>
      <c r="B213" s="14" t="s">
        <v>85</v>
      </c>
      <c r="C213" s="15" t="s">
        <v>30</v>
      </c>
      <c r="D213" s="18">
        <v>915</v>
      </c>
      <c r="E213" s="8" t="s">
        <v>59</v>
      </c>
      <c r="F213" s="18">
        <v>1050080110</v>
      </c>
      <c r="G213" s="18">
        <v>111</v>
      </c>
      <c r="H213" s="6">
        <v>0</v>
      </c>
      <c r="I213" s="6">
        <v>13.52</v>
      </c>
      <c r="J213" s="6">
        <v>0</v>
      </c>
    </row>
    <row r="214" spans="1:10" ht="56.25" x14ac:dyDescent="0.25">
      <c r="A214" s="15"/>
      <c r="B214" s="15" t="s">
        <v>144</v>
      </c>
      <c r="C214" s="15" t="s">
        <v>30</v>
      </c>
      <c r="D214" s="18">
        <v>915</v>
      </c>
      <c r="E214" s="8" t="s">
        <v>59</v>
      </c>
      <c r="F214" s="8" t="s">
        <v>98</v>
      </c>
      <c r="G214" s="8" t="s">
        <v>84</v>
      </c>
      <c r="H214" s="6">
        <v>4903.3599999999997</v>
      </c>
      <c r="I214" s="6">
        <v>14827.04</v>
      </c>
      <c r="J214" s="6" t="e">
        <f>'приложение 4'!#REF!</f>
        <v>#REF!</v>
      </c>
    </row>
    <row r="215" spans="1:10" ht="15" customHeight="1" x14ac:dyDescent="0.25">
      <c r="A215" s="4"/>
    </row>
    <row r="216" spans="1:10" ht="15" customHeight="1" x14ac:dyDescent="0.25">
      <c r="A216" s="4"/>
    </row>
    <row r="217" spans="1:10" ht="15" customHeight="1" x14ac:dyDescent="0.25">
      <c r="A217" s="4"/>
    </row>
    <row r="218" spans="1:10" ht="15" customHeight="1" x14ac:dyDescent="0.25">
      <c r="A218" s="4"/>
    </row>
    <row r="219" spans="1:10" ht="15" customHeight="1" x14ac:dyDescent="0.25">
      <c r="A219" s="4"/>
    </row>
    <row r="220" spans="1:10" ht="15" customHeight="1" x14ac:dyDescent="0.25">
      <c r="A220" s="4"/>
    </row>
    <row r="221" spans="1:10" ht="15" customHeight="1" x14ac:dyDescent="0.25">
      <c r="A221" s="4"/>
    </row>
    <row r="222" spans="1:10" ht="15" customHeight="1" x14ac:dyDescent="0.25">
      <c r="A222" s="4"/>
    </row>
    <row r="223" spans="1:10" ht="15" customHeight="1" x14ac:dyDescent="0.25">
      <c r="A223" s="4"/>
    </row>
    <row r="224" spans="1:10" ht="15" customHeight="1" x14ac:dyDescent="0.25">
      <c r="A224" s="4"/>
    </row>
    <row r="225" spans="1:1" x14ac:dyDescent="0.25">
      <c r="A225" s="5"/>
    </row>
    <row r="226" spans="1:1" x14ac:dyDescent="0.25">
      <c r="A226" s="5"/>
    </row>
  </sheetData>
  <mergeCells count="43">
    <mergeCell ref="A2:J2"/>
    <mergeCell ref="A4:A5"/>
    <mergeCell ref="B4:B5"/>
    <mergeCell ref="C4:C5"/>
    <mergeCell ref="D4:G4"/>
    <mergeCell ref="H4:J4"/>
    <mergeCell ref="A7:A19"/>
    <mergeCell ref="B7:B19"/>
    <mergeCell ref="A20:A29"/>
    <mergeCell ref="B20:B29"/>
    <mergeCell ref="A33:A40"/>
    <mergeCell ref="B33:B40"/>
    <mergeCell ref="A43:A50"/>
    <mergeCell ref="B43:B50"/>
    <mergeCell ref="A51:A58"/>
    <mergeCell ref="B51:B58"/>
    <mergeCell ref="A60:A61"/>
    <mergeCell ref="B60:B61"/>
    <mergeCell ref="A65:A75"/>
    <mergeCell ref="B65:B75"/>
    <mergeCell ref="A93:A100"/>
    <mergeCell ref="B93:B100"/>
    <mergeCell ref="A110:A121"/>
    <mergeCell ref="B110:B121"/>
    <mergeCell ref="A203:A212"/>
    <mergeCell ref="B203:B212"/>
    <mergeCell ref="A173:A180"/>
    <mergeCell ref="B173:B180"/>
    <mergeCell ref="A181:A183"/>
    <mergeCell ref="A184:A186"/>
    <mergeCell ref="A200:A202"/>
    <mergeCell ref="B200:B202"/>
    <mergeCell ref="C76:C85"/>
    <mergeCell ref="A197:A199"/>
    <mergeCell ref="B197:B199"/>
    <mergeCell ref="C181:C183"/>
    <mergeCell ref="C184:C186"/>
    <mergeCell ref="A123:A132"/>
    <mergeCell ref="B123:B132"/>
    <mergeCell ref="A161:A164"/>
    <mergeCell ref="B161:B164"/>
    <mergeCell ref="A165:A172"/>
    <mergeCell ref="B165:B172"/>
  </mergeCells>
  <hyperlinks>
    <hyperlink ref="A20" r:id="rId1" display="consultantplus://offline/ref=5F2D014D1362217C57894CE28071C1A7A9E0F44ECD654503C5869B772E46E52D2F2F62BCA7A58DE493FC812Dp8yBE"/>
    <hyperlink ref="A60" r:id="rId2" display="consultantplus://offline/ref=5F2D014D1362217C57894CE28071C1A7A9E0F44ECD654503C5869B772E46E52D2F2F62BCA7A58DE493FC8621p8yCE"/>
    <hyperlink ref="A65" r:id="rId3" display="consultantplus://offline/ref=5F2D014D1362217C57894CE28071C1A7A9E0F44ECD654503C5869B772E46E52D2F2F62BCA7A58DE493FC862Dp8y8E"/>
    <hyperlink ref="A110" r:id="rId4" display="consultantplus://offline/ref=5F2D014D1362217C57894CE28071C1A7A9E0F44ECD654503C5869B772E46E52D2F2F62BCA7A58DE493FD832Dp8yAE"/>
    <hyperlink ref="A197" r:id="rId5" display="consultantplus://offline/ref=5F2D014D1362217C57894CE28071C1A7A9E0F44ECD654503C5869B772E46E52D2F2F62BCA7A58DE493FC8425p8yDE"/>
  </hyperlinks>
  <pageMargins left="0.31496062992125984" right="0.11811023622047245" top="0.15748031496062992" bottom="0.15748031496062992" header="0.31496062992125984" footer="0.31496062992125984"/>
  <pageSetup paperSize="9" scale="68" fitToHeight="0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B14"/>
  <sheetViews>
    <sheetView workbookViewId="0">
      <selection activeCell="F26" sqref="F26"/>
    </sheetView>
  </sheetViews>
  <sheetFormatPr defaultRowHeight="15" x14ac:dyDescent="0.25"/>
  <sheetData>
    <row r="5" spans="1:54" x14ac:dyDescent="0.25">
      <c r="A5" t="s">
        <v>158</v>
      </c>
      <c r="B5" t="s">
        <v>172</v>
      </c>
      <c r="C5" t="s">
        <v>11</v>
      </c>
      <c r="D5">
        <v>915</v>
      </c>
      <c r="G5" t="s">
        <v>170</v>
      </c>
      <c r="H5">
        <v>0</v>
      </c>
      <c r="I5">
        <v>50000</v>
      </c>
      <c r="J5">
        <v>70000</v>
      </c>
      <c r="K5">
        <v>120000</v>
      </c>
    </row>
    <row r="6" spans="1:54" x14ac:dyDescent="0.25">
      <c r="A6" t="s">
        <v>158</v>
      </c>
      <c r="B6" t="s">
        <v>168</v>
      </c>
      <c r="C6" t="s">
        <v>11</v>
      </c>
      <c r="D6">
        <v>915</v>
      </c>
      <c r="E6" t="s">
        <v>60</v>
      </c>
      <c r="F6">
        <v>1080083190</v>
      </c>
      <c r="G6" t="s">
        <v>74</v>
      </c>
      <c r="H6">
        <v>0</v>
      </c>
      <c r="I6">
        <v>56000</v>
      </c>
      <c r="J6">
        <v>107000</v>
      </c>
      <c r="K6">
        <v>163000</v>
      </c>
    </row>
    <row r="7" spans="1:54" x14ac:dyDescent="0.25">
      <c r="B7" t="s">
        <v>37</v>
      </c>
      <c r="G7" t="s">
        <v>170</v>
      </c>
      <c r="H7">
        <v>0</v>
      </c>
      <c r="I7">
        <v>14000</v>
      </c>
      <c r="J7">
        <v>26000</v>
      </c>
      <c r="K7">
        <v>40000</v>
      </c>
    </row>
    <row r="8" spans="1:54" x14ac:dyDescent="0.25">
      <c r="B8" t="s">
        <v>153</v>
      </c>
      <c r="G8" t="s">
        <v>170</v>
      </c>
      <c r="H8">
        <v>0</v>
      </c>
      <c r="I8">
        <v>42000</v>
      </c>
      <c r="J8">
        <v>81000</v>
      </c>
      <c r="K8">
        <v>123000</v>
      </c>
    </row>
    <row r="9" spans="1:54" x14ac:dyDescent="0.25">
      <c r="A9" t="s">
        <v>158</v>
      </c>
      <c r="B9" t="s">
        <v>173</v>
      </c>
      <c r="C9" t="s">
        <v>11</v>
      </c>
      <c r="D9">
        <v>915</v>
      </c>
      <c r="G9" t="s">
        <v>170</v>
      </c>
      <c r="H9">
        <v>0</v>
      </c>
      <c r="I9">
        <v>75000</v>
      </c>
      <c r="J9">
        <v>135000</v>
      </c>
      <c r="K9">
        <v>210000</v>
      </c>
    </row>
    <row r="10" spans="1:54" x14ac:dyDescent="0.25">
      <c r="A10" t="s">
        <v>158</v>
      </c>
      <c r="C10" t="s">
        <v>171</v>
      </c>
      <c r="D10">
        <v>905</v>
      </c>
      <c r="H10">
        <v>0</v>
      </c>
      <c r="I10">
        <v>12500</v>
      </c>
      <c r="J10">
        <v>12500</v>
      </c>
      <c r="K10">
        <v>25000</v>
      </c>
    </row>
    <row r="11" spans="1:54" x14ac:dyDescent="0.25">
      <c r="A11" t="s">
        <v>158</v>
      </c>
      <c r="B11" t="s">
        <v>166</v>
      </c>
      <c r="C11" t="s">
        <v>157</v>
      </c>
      <c r="D11">
        <v>908</v>
      </c>
      <c r="E11" t="s">
        <v>169</v>
      </c>
      <c r="F11" t="s">
        <v>167</v>
      </c>
      <c r="G11">
        <v>622</v>
      </c>
      <c r="H11">
        <v>0</v>
      </c>
      <c r="I11">
        <v>12500</v>
      </c>
      <c r="J11">
        <v>12500</v>
      </c>
      <c r="K11">
        <v>25000</v>
      </c>
      <c r="AT11" t="s">
        <v>155</v>
      </c>
      <c r="AU11">
        <v>918</v>
      </c>
      <c r="AV11" t="s">
        <v>74</v>
      </c>
      <c r="AW11" t="s">
        <v>74</v>
      </c>
      <c r="AX11" t="s">
        <v>74</v>
      </c>
      <c r="BB11">
        <v>0</v>
      </c>
    </row>
    <row r="12" spans="1:54" x14ac:dyDescent="0.25">
      <c r="A12" t="s">
        <v>158</v>
      </c>
      <c r="B12" t="s">
        <v>165</v>
      </c>
      <c r="C12" t="s">
        <v>162</v>
      </c>
      <c r="D12">
        <v>911</v>
      </c>
      <c r="E12" t="s">
        <v>161</v>
      </c>
      <c r="F12" t="s">
        <v>160</v>
      </c>
      <c r="G12">
        <v>622</v>
      </c>
      <c r="H12">
        <v>0</v>
      </c>
      <c r="I12">
        <v>25000</v>
      </c>
      <c r="J12">
        <v>25000</v>
      </c>
      <c r="K12">
        <v>50000</v>
      </c>
      <c r="AT12" t="s">
        <v>155</v>
      </c>
      <c r="AU12">
        <v>918</v>
      </c>
      <c r="AV12" t="s">
        <v>74</v>
      </c>
      <c r="AW12" t="s">
        <v>74</v>
      </c>
      <c r="AX12" t="s">
        <v>74</v>
      </c>
      <c r="BB12">
        <v>0</v>
      </c>
    </row>
    <row r="13" spans="1:54" x14ac:dyDescent="0.25">
      <c r="A13" t="s">
        <v>158</v>
      </c>
      <c r="B13" t="s">
        <v>164</v>
      </c>
      <c r="C13" t="s">
        <v>156</v>
      </c>
      <c r="D13">
        <v>918</v>
      </c>
      <c r="E13" t="s">
        <v>159</v>
      </c>
      <c r="F13" t="s">
        <v>160</v>
      </c>
      <c r="G13">
        <v>622</v>
      </c>
      <c r="H13">
        <v>0</v>
      </c>
      <c r="I13">
        <v>12500</v>
      </c>
      <c r="J13">
        <v>12500</v>
      </c>
      <c r="K13">
        <v>25000</v>
      </c>
      <c r="AT13" t="s">
        <v>155</v>
      </c>
      <c r="AU13">
        <v>918</v>
      </c>
      <c r="AV13" t="s">
        <v>74</v>
      </c>
      <c r="AW13" t="s">
        <v>74</v>
      </c>
      <c r="AX13" t="s">
        <v>74</v>
      </c>
      <c r="BB13">
        <v>0</v>
      </c>
    </row>
    <row r="14" spans="1:54" x14ac:dyDescent="0.25">
      <c r="A14" t="s">
        <v>158</v>
      </c>
      <c r="B14" t="s">
        <v>163</v>
      </c>
      <c r="C14" t="s">
        <v>156</v>
      </c>
      <c r="D14">
        <v>918</v>
      </c>
      <c r="E14" t="s">
        <v>159</v>
      </c>
      <c r="F14" t="s">
        <v>160</v>
      </c>
      <c r="G14">
        <v>622</v>
      </c>
      <c r="H14">
        <v>0</v>
      </c>
      <c r="I14">
        <v>15000</v>
      </c>
      <c r="J14">
        <v>15000</v>
      </c>
      <c r="K14">
        <v>30000</v>
      </c>
      <c r="AT14" t="s">
        <v>155</v>
      </c>
      <c r="AU14">
        <v>918</v>
      </c>
      <c r="AV14" t="s">
        <v>74</v>
      </c>
      <c r="AW14" t="s">
        <v>74</v>
      </c>
      <c r="AX14" t="s">
        <v>74</v>
      </c>
      <c r="BB14"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07768007845FA44B257027247838830" ma:contentTypeVersion="1" ma:contentTypeDescription="Создание документа." ma:contentTypeScope="" ma:versionID="b6c517a1732ec4b62aac360536a4ed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B03B47-C892-4E71-9FD4-8DB02742EC47}"/>
</file>

<file path=customXml/itemProps2.xml><?xml version="1.0" encoding="utf-8"?>
<ds:datastoreItem xmlns:ds="http://schemas.openxmlformats.org/officeDocument/2006/customXml" ds:itemID="{96ED181B-D66B-4A78-9EDA-7309A4555E04}"/>
</file>

<file path=customXml/itemProps3.xml><?xml version="1.0" encoding="utf-8"?>
<ds:datastoreItem xmlns:ds="http://schemas.openxmlformats.org/officeDocument/2006/customXml" ds:itemID="{20BA59A1-51D4-4ABC-B8DA-DB18FA561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приложение 4</vt:lpstr>
      <vt:lpstr>приложение 6</vt:lpstr>
      <vt:lpstr>ИП</vt:lpstr>
      <vt:lpstr>Лист1</vt:lpstr>
      <vt:lpstr>'приложение 4'!Заголовки_для_печати</vt:lpstr>
      <vt:lpstr>'приложение 6'!Заголовки_для_печати</vt:lpstr>
      <vt:lpstr>ИП!Область_печати</vt:lpstr>
      <vt:lpstr>'приложение 4'!Область_печати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Соляк Максим Геннадьевич</dc:creator>
  <cp:lastModifiedBy>Рыбкова Елена Владимировна</cp:lastModifiedBy>
  <cp:lastPrinted>2025-01-27T10:52:22Z</cp:lastPrinted>
  <dcterms:created xsi:type="dcterms:W3CDTF">2014-09-24T04:52:22Z</dcterms:created>
  <dcterms:modified xsi:type="dcterms:W3CDTF">2025-01-27T10:55:32Z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0x010100707768007845FA44B257027247838830</vt:lpwstr>
  </property>
</Properties>
</file>